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0" windowWidth="14805" windowHeight="0"/>
  </bookViews>
  <sheets>
    <sheet name="Лист1" sheetId="1" r:id="rId1"/>
  </sheets>
  <definedNames>
    <definedName name="BossProviderVariable?_d3b08437_267b_4a82_afb1_7a5d3e05f7c5" hidden="1">"25_01_2006"</definedName>
    <definedName name="Print_Area" localSheetId="0">Лист1!$A$1:$AC$494</definedName>
  </definedNames>
  <calcPr calcId="152511"/>
</workbook>
</file>

<file path=xl/calcChain.xml><?xml version="1.0" encoding="utf-8"?>
<calcChain xmlns="http://schemas.openxmlformats.org/spreadsheetml/2006/main">
  <c r="G128" i="1" l="1"/>
  <c r="H128" i="1"/>
  <c r="I128" i="1"/>
  <c r="J128" i="1"/>
  <c r="K128" i="1"/>
  <c r="L128" i="1"/>
  <c r="M128" i="1"/>
  <c r="N128" i="1"/>
  <c r="O128" i="1"/>
  <c r="P128" i="1"/>
  <c r="Q128" i="1"/>
  <c r="F128" i="1"/>
  <c r="G129" i="1"/>
  <c r="H129" i="1"/>
  <c r="I129" i="1"/>
  <c r="J129" i="1"/>
  <c r="K129" i="1"/>
  <c r="L129" i="1"/>
  <c r="M129" i="1"/>
  <c r="N129" i="1"/>
  <c r="O129" i="1"/>
  <c r="P129" i="1"/>
  <c r="Q129" i="1"/>
  <c r="F129" i="1"/>
  <c r="G484" i="1" l="1"/>
  <c r="H484" i="1"/>
  <c r="I484" i="1"/>
  <c r="J484" i="1"/>
  <c r="K484" i="1"/>
  <c r="L484" i="1"/>
  <c r="M484" i="1"/>
  <c r="N484" i="1"/>
  <c r="O484" i="1"/>
  <c r="P484" i="1"/>
  <c r="Q484" i="1"/>
  <c r="F484" i="1"/>
  <c r="G485" i="1"/>
  <c r="H485" i="1"/>
  <c r="I485" i="1"/>
  <c r="J485" i="1"/>
  <c r="K485" i="1"/>
  <c r="L485" i="1"/>
  <c r="M485" i="1"/>
  <c r="N485" i="1"/>
  <c r="O485" i="1"/>
  <c r="P485" i="1"/>
  <c r="Q485" i="1"/>
  <c r="F485" i="1"/>
  <c r="G486" i="1"/>
  <c r="H486" i="1"/>
  <c r="I486" i="1"/>
  <c r="J486" i="1"/>
  <c r="K486" i="1"/>
  <c r="L486" i="1"/>
  <c r="M486" i="1"/>
  <c r="N486" i="1"/>
  <c r="O486" i="1"/>
  <c r="P486" i="1"/>
  <c r="Q486" i="1"/>
  <c r="F486" i="1"/>
  <c r="G474" i="1"/>
  <c r="J474" i="1"/>
  <c r="K474" i="1"/>
  <c r="N474" i="1"/>
  <c r="F474" i="1"/>
  <c r="G480" i="1"/>
  <c r="J480" i="1"/>
  <c r="K480" i="1"/>
  <c r="N480" i="1"/>
  <c r="F480" i="1"/>
  <c r="G481" i="1"/>
  <c r="J481" i="1"/>
  <c r="K481" i="1"/>
  <c r="N481" i="1"/>
  <c r="F481" i="1"/>
  <c r="G475" i="1"/>
  <c r="H475" i="1"/>
  <c r="I475" i="1"/>
  <c r="J475" i="1"/>
  <c r="K475" i="1"/>
  <c r="L475" i="1"/>
  <c r="M475" i="1"/>
  <c r="N475" i="1"/>
  <c r="O475" i="1"/>
  <c r="P475" i="1"/>
  <c r="Q475" i="1"/>
  <c r="F475" i="1"/>
  <c r="G476" i="1"/>
  <c r="H476" i="1"/>
  <c r="I476" i="1"/>
  <c r="J476" i="1"/>
  <c r="K476" i="1"/>
  <c r="L476" i="1"/>
  <c r="M476" i="1"/>
  <c r="N476" i="1"/>
  <c r="O476" i="1"/>
  <c r="P476" i="1"/>
  <c r="Q476" i="1"/>
  <c r="F476" i="1"/>
  <c r="G466" i="1"/>
  <c r="H466" i="1"/>
  <c r="I466" i="1"/>
  <c r="J466" i="1"/>
  <c r="K466" i="1"/>
  <c r="L466" i="1"/>
  <c r="M466" i="1"/>
  <c r="N466" i="1"/>
  <c r="O466" i="1"/>
  <c r="P466" i="1"/>
  <c r="Q466" i="1"/>
  <c r="F466" i="1"/>
  <c r="G467" i="1"/>
  <c r="H467" i="1"/>
  <c r="I467" i="1"/>
  <c r="J467" i="1"/>
  <c r="K467" i="1"/>
  <c r="L467" i="1"/>
  <c r="M467" i="1"/>
  <c r="N467" i="1"/>
  <c r="O467" i="1"/>
  <c r="P467" i="1"/>
  <c r="Q467" i="1"/>
  <c r="F467" i="1"/>
  <c r="G468" i="1"/>
  <c r="H468" i="1"/>
  <c r="I468" i="1"/>
  <c r="J468" i="1"/>
  <c r="K468" i="1"/>
  <c r="L468" i="1"/>
  <c r="M468" i="1"/>
  <c r="N468" i="1"/>
  <c r="O468" i="1"/>
  <c r="P468" i="1"/>
  <c r="Q468" i="1"/>
  <c r="F468" i="1"/>
  <c r="G446" i="1"/>
  <c r="H446" i="1"/>
  <c r="I446" i="1"/>
  <c r="J446" i="1"/>
  <c r="K446" i="1"/>
  <c r="L446" i="1"/>
  <c r="M446" i="1"/>
  <c r="N446" i="1"/>
  <c r="O446" i="1"/>
  <c r="P446" i="1"/>
  <c r="Q446" i="1"/>
  <c r="F446" i="1"/>
  <c r="G463" i="1"/>
  <c r="H463" i="1"/>
  <c r="I463" i="1"/>
  <c r="J463" i="1"/>
  <c r="K463" i="1"/>
  <c r="L463" i="1"/>
  <c r="M463" i="1"/>
  <c r="N463" i="1"/>
  <c r="O463" i="1"/>
  <c r="P463" i="1"/>
  <c r="Q463" i="1"/>
  <c r="F463" i="1"/>
  <c r="G459" i="1"/>
  <c r="H459" i="1"/>
  <c r="I459" i="1"/>
  <c r="J459" i="1"/>
  <c r="K459" i="1"/>
  <c r="L459" i="1"/>
  <c r="M459" i="1"/>
  <c r="N459" i="1"/>
  <c r="O459" i="1"/>
  <c r="P459" i="1"/>
  <c r="Q459" i="1"/>
  <c r="F459" i="1"/>
  <c r="G457" i="1"/>
  <c r="H457" i="1"/>
  <c r="I457" i="1"/>
  <c r="J457" i="1"/>
  <c r="K457" i="1"/>
  <c r="L457" i="1"/>
  <c r="M457" i="1"/>
  <c r="N457" i="1"/>
  <c r="O457" i="1"/>
  <c r="P457" i="1"/>
  <c r="Q457" i="1"/>
  <c r="F457" i="1"/>
  <c r="G449" i="1"/>
  <c r="H449" i="1"/>
  <c r="I449" i="1"/>
  <c r="J449" i="1"/>
  <c r="K449" i="1"/>
  <c r="L449" i="1"/>
  <c r="M449" i="1"/>
  <c r="N449" i="1"/>
  <c r="O449" i="1"/>
  <c r="P449" i="1"/>
  <c r="Q449" i="1"/>
  <c r="F449" i="1"/>
  <c r="G450" i="1"/>
  <c r="H450" i="1"/>
  <c r="I450" i="1"/>
  <c r="J450" i="1"/>
  <c r="K450" i="1"/>
  <c r="L450" i="1"/>
  <c r="M450" i="1"/>
  <c r="N450" i="1"/>
  <c r="O450" i="1"/>
  <c r="P450" i="1"/>
  <c r="Q450" i="1"/>
  <c r="F450" i="1"/>
  <c r="G447" i="1"/>
  <c r="H447" i="1"/>
  <c r="I447" i="1"/>
  <c r="J447" i="1"/>
  <c r="K447" i="1"/>
  <c r="L447" i="1"/>
  <c r="M447" i="1"/>
  <c r="N447" i="1"/>
  <c r="O447" i="1"/>
  <c r="P447" i="1"/>
  <c r="Q447" i="1"/>
  <c r="F447" i="1"/>
  <c r="G442" i="1"/>
  <c r="H442" i="1"/>
  <c r="I442" i="1"/>
  <c r="J442" i="1"/>
  <c r="K442" i="1"/>
  <c r="L442" i="1"/>
  <c r="M442" i="1"/>
  <c r="N442" i="1"/>
  <c r="O442" i="1"/>
  <c r="P442" i="1"/>
  <c r="Q442" i="1"/>
  <c r="F442" i="1"/>
  <c r="G443" i="1"/>
  <c r="H443" i="1"/>
  <c r="I443" i="1"/>
  <c r="J443" i="1"/>
  <c r="K443" i="1"/>
  <c r="L443" i="1"/>
  <c r="M443" i="1"/>
  <c r="N443" i="1"/>
  <c r="O443" i="1"/>
  <c r="P443" i="1"/>
  <c r="Q443" i="1"/>
  <c r="F443" i="1"/>
  <c r="G438" i="1"/>
  <c r="H438" i="1"/>
  <c r="I438" i="1"/>
  <c r="J438" i="1"/>
  <c r="K438" i="1"/>
  <c r="L438" i="1"/>
  <c r="M438" i="1"/>
  <c r="N438" i="1"/>
  <c r="O438" i="1"/>
  <c r="P438" i="1"/>
  <c r="Q438" i="1"/>
  <c r="F438" i="1"/>
  <c r="G439" i="1"/>
  <c r="H439" i="1"/>
  <c r="I439" i="1"/>
  <c r="J439" i="1"/>
  <c r="K439" i="1"/>
  <c r="L439" i="1"/>
  <c r="M439" i="1"/>
  <c r="N439" i="1"/>
  <c r="O439" i="1"/>
  <c r="P439" i="1"/>
  <c r="Q439" i="1"/>
  <c r="F439" i="1"/>
  <c r="G434" i="1"/>
  <c r="H434" i="1"/>
  <c r="I434" i="1"/>
  <c r="J434" i="1"/>
  <c r="K434" i="1"/>
  <c r="L434" i="1"/>
  <c r="M434" i="1"/>
  <c r="N434" i="1"/>
  <c r="O434" i="1"/>
  <c r="P434" i="1"/>
  <c r="Q434" i="1"/>
  <c r="F434" i="1"/>
  <c r="G435" i="1"/>
  <c r="H435" i="1"/>
  <c r="I435" i="1"/>
  <c r="J435" i="1"/>
  <c r="K435" i="1"/>
  <c r="L435" i="1"/>
  <c r="M435" i="1"/>
  <c r="N435" i="1"/>
  <c r="O435" i="1"/>
  <c r="P435" i="1"/>
  <c r="Q435" i="1"/>
  <c r="F435" i="1"/>
  <c r="G436" i="1"/>
  <c r="H436" i="1"/>
  <c r="I436" i="1"/>
  <c r="J436" i="1"/>
  <c r="K436" i="1"/>
  <c r="L436" i="1"/>
  <c r="M436" i="1"/>
  <c r="N436" i="1"/>
  <c r="O436" i="1"/>
  <c r="P436" i="1"/>
  <c r="Q436" i="1"/>
  <c r="F436" i="1"/>
  <c r="G419" i="1"/>
  <c r="H419" i="1"/>
  <c r="I419" i="1"/>
  <c r="J419" i="1"/>
  <c r="K419" i="1"/>
  <c r="L419" i="1"/>
  <c r="M419" i="1"/>
  <c r="N419" i="1"/>
  <c r="O419" i="1"/>
  <c r="P419" i="1"/>
  <c r="Q419" i="1"/>
  <c r="F419" i="1"/>
  <c r="G429" i="1"/>
  <c r="H429" i="1"/>
  <c r="I429" i="1"/>
  <c r="J429" i="1"/>
  <c r="K429" i="1"/>
  <c r="L429" i="1"/>
  <c r="M429" i="1"/>
  <c r="N429" i="1"/>
  <c r="O429" i="1"/>
  <c r="P429" i="1"/>
  <c r="Q429" i="1"/>
  <c r="F429" i="1"/>
  <c r="G430" i="1"/>
  <c r="H430" i="1"/>
  <c r="I430" i="1"/>
  <c r="J430" i="1"/>
  <c r="K430" i="1"/>
  <c r="L430" i="1"/>
  <c r="M430" i="1"/>
  <c r="N430" i="1"/>
  <c r="O430" i="1"/>
  <c r="P430" i="1"/>
  <c r="Q430" i="1"/>
  <c r="F430" i="1"/>
  <c r="G431" i="1"/>
  <c r="H431" i="1"/>
  <c r="I431" i="1"/>
  <c r="J431" i="1"/>
  <c r="K431" i="1"/>
  <c r="L431" i="1"/>
  <c r="M431" i="1"/>
  <c r="N431" i="1"/>
  <c r="O431" i="1"/>
  <c r="P431" i="1"/>
  <c r="Q431" i="1"/>
  <c r="F431" i="1"/>
  <c r="G424" i="1"/>
  <c r="H424" i="1"/>
  <c r="I424" i="1"/>
  <c r="J424" i="1"/>
  <c r="K424" i="1"/>
  <c r="L424" i="1"/>
  <c r="M424" i="1"/>
  <c r="N424" i="1"/>
  <c r="O424" i="1"/>
  <c r="P424" i="1"/>
  <c r="Q424" i="1"/>
  <c r="F424" i="1"/>
  <c r="G426" i="1"/>
  <c r="H426" i="1"/>
  <c r="I426" i="1"/>
  <c r="J426" i="1"/>
  <c r="K426" i="1"/>
  <c r="L426" i="1"/>
  <c r="M426" i="1"/>
  <c r="N426" i="1"/>
  <c r="O426" i="1"/>
  <c r="P426" i="1"/>
  <c r="Q426" i="1"/>
  <c r="F426" i="1"/>
  <c r="G420" i="1"/>
  <c r="H420" i="1"/>
  <c r="I420" i="1"/>
  <c r="J420" i="1"/>
  <c r="K420" i="1"/>
  <c r="L420" i="1"/>
  <c r="M420" i="1"/>
  <c r="N420" i="1"/>
  <c r="O420" i="1"/>
  <c r="P420" i="1"/>
  <c r="Q420" i="1"/>
  <c r="F420" i="1"/>
  <c r="G421" i="1"/>
  <c r="H421" i="1"/>
  <c r="I421" i="1"/>
  <c r="J421" i="1"/>
  <c r="K421" i="1"/>
  <c r="L421" i="1"/>
  <c r="M421" i="1"/>
  <c r="N421" i="1"/>
  <c r="O421" i="1"/>
  <c r="P421" i="1"/>
  <c r="Q421" i="1"/>
  <c r="F421" i="1"/>
  <c r="G422" i="1"/>
  <c r="H422" i="1"/>
  <c r="I422" i="1"/>
  <c r="J422" i="1"/>
  <c r="K422" i="1"/>
  <c r="L422" i="1"/>
  <c r="M422" i="1"/>
  <c r="N422" i="1"/>
  <c r="O422" i="1"/>
  <c r="P422" i="1"/>
  <c r="Q422" i="1"/>
  <c r="F422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G415" i="1"/>
  <c r="H415" i="1"/>
  <c r="I415" i="1"/>
  <c r="J415" i="1"/>
  <c r="K415" i="1"/>
  <c r="L415" i="1"/>
  <c r="M415" i="1"/>
  <c r="N415" i="1"/>
  <c r="O415" i="1"/>
  <c r="P415" i="1"/>
  <c r="Q415" i="1"/>
  <c r="F415" i="1"/>
  <c r="G416" i="1"/>
  <c r="H416" i="1"/>
  <c r="I416" i="1"/>
  <c r="J416" i="1"/>
  <c r="K416" i="1"/>
  <c r="L416" i="1"/>
  <c r="M416" i="1"/>
  <c r="N416" i="1"/>
  <c r="O416" i="1"/>
  <c r="P416" i="1"/>
  <c r="Q416" i="1"/>
  <c r="F416" i="1"/>
  <c r="F391" i="1"/>
  <c r="G413" i="1"/>
  <c r="H413" i="1"/>
  <c r="I413" i="1"/>
  <c r="J413" i="1"/>
  <c r="K413" i="1"/>
  <c r="L413" i="1"/>
  <c r="M413" i="1"/>
  <c r="N413" i="1"/>
  <c r="O413" i="1"/>
  <c r="P413" i="1"/>
  <c r="Q413" i="1"/>
  <c r="F413" i="1"/>
  <c r="G396" i="1"/>
  <c r="H396" i="1"/>
  <c r="I396" i="1"/>
  <c r="J396" i="1"/>
  <c r="K396" i="1"/>
  <c r="L396" i="1"/>
  <c r="M396" i="1"/>
  <c r="N396" i="1"/>
  <c r="O396" i="1"/>
  <c r="P396" i="1"/>
  <c r="Q396" i="1"/>
  <c r="F396" i="1"/>
  <c r="F404" i="1"/>
  <c r="F397" i="1"/>
  <c r="F394" i="1"/>
  <c r="G391" i="1"/>
  <c r="H391" i="1"/>
  <c r="I391" i="1"/>
  <c r="J391" i="1"/>
  <c r="K391" i="1"/>
  <c r="L391" i="1"/>
  <c r="M391" i="1"/>
  <c r="N391" i="1"/>
  <c r="O391" i="1"/>
  <c r="P391" i="1"/>
  <c r="Q391" i="1"/>
  <c r="G392" i="1"/>
  <c r="H392" i="1"/>
  <c r="I392" i="1"/>
  <c r="J392" i="1"/>
  <c r="K392" i="1"/>
  <c r="L392" i="1"/>
  <c r="M392" i="1"/>
  <c r="N392" i="1"/>
  <c r="O392" i="1"/>
  <c r="P392" i="1"/>
  <c r="Q392" i="1"/>
  <c r="F392" i="1"/>
  <c r="G384" i="1"/>
  <c r="H384" i="1"/>
  <c r="I384" i="1"/>
  <c r="J384" i="1"/>
  <c r="K384" i="1"/>
  <c r="L384" i="1"/>
  <c r="M384" i="1"/>
  <c r="N384" i="1"/>
  <c r="O384" i="1"/>
  <c r="P384" i="1"/>
  <c r="Q384" i="1"/>
  <c r="F384" i="1"/>
  <c r="F385" i="1"/>
  <c r="F388" i="1"/>
  <c r="G386" i="1"/>
  <c r="H386" i="1"/>
  <c r="I386" i="1"/>
  <c r="J386" i="1"/>
  <c r="K386" i="1"/>
  <c r="L386" i="1"/>
  <c r="M386" i="1"/>
  <c r="N386" i="1"/>
  <c r="O386" i="1"/>
  <c r="O385" i="1" s="1"/>
  <c r="P386" i="1"/>
  <c r="Q386" i="1"/>
  <c r="F386" i="1"/>
  <c r="G385" i="1"/>
  <c r="H385" i="1"/>
  <c r="I385" i="1"/>
  <c r="J385" i="1"/>
  <c r="K385" i="1"/>
  <c r="L385" i="1"/>
  <c r="M385" i="1"/>
  <c r="N385" i="1"/>
  <c r="P385" i="1"/>
  <c r="Q385" i="1"/>
  <c r="G377" i="1"/>
  <c r="H377" i="1"/>
  <c r="I377" i="1"/>
  <c r="J377" i="1"/>
  <c r="K377" i="1"/>
  <c r="L377" i="1"/>
  <c r="M377" i="1"/>
  <c r="N377" i="1"/>
  <c r="O377" i="1"/>
  <c r="P377" i="1"/>
  <c r="Q377" i="1"/>
  <c r="F377" i="1"/>
  <c r="G382" i="1"/>
  <c r="H382" i="1"/>
  <c r="I382" i="1"/>
  <c r="J382" i="1"/>
  <c r="K382" i="1"/>
  <c r="L382" i="1"/>
  <c r="M382" i="1"/>
  <c r="N382" i="1"/>
  <c r="O382" i="1"/>
  <c r="P382" i="1"/>
  <c r="Q382" i="1"/>
  <c r="F382" i="1"/>
  <c r="G378" i="1"/>
  <c r="H378" i="1"/>
  <c r="I378" i="1"/>
  <c r="J378" i="1"/>
  <c r="K378" i="1"/>
  <c r="L378" i="1"/>
  <c r="M378" i="1"/>
  <c r="N378" i="1"/>
  <c r="O378" i="1"/>
  <c r="P378" i="1"/>
  <c r="Q378" i="1"/>
  <c r="F378" i="1"/>
  <c r="G379" i="1"/>
  <c r="H379" i="1"/>
  <c r="I379" i="1"/>
  <c r="J379" i="1"/>
  <c r="K379" i="1"/>
  <c r="L379" i="1"/>
  <c r="M379" i="1"/>
  <c r="N379" i="1"/>
  <c r="O379" i="1"/>
  <c r="P379" i="1"/>
  <c r="Q379" i="1"/>
  <c r="F379" i="1"/>
  <c r="G374" i="1"/>
  <c r="H374" i="1"/>
  <c r="I374" i="1"/>
  <c r="J374" i="1"/>
  <c r="K374" i="1"/>
  <c r="L374" i="1"/>
  <c r="M374" i="1"/>
  <c r="N374" i="1"/>
  <c r="O374" i="1"/>
  <c r="P374" i="1"/>
  <c r="Q374" i="1"/>
  <c r="F374" i="1"/>
  <c r="G375" i="1"/>
  <c r="H375" i="1"/>
  <c r="I375" i="1"/>
  <c r="J375" i="1"/>
  <c r="K375" i="1"/>
  <c r="L375" i="1"/>
  <c r="M375" i="1"/>
  <c r="N375" i="1"/>
  <c r="O375" i="1"/>
  <c r="P375" i="1"/>
  <c r="Q375" i="1"/>
  <c r="F375" i="1"/>
  <c r="G350" i="1"/>
  <c r="H350" i="1"/>
  <c r="I350" i="1"/>
  <c r="J350" i="1"/>
  <c r="K350" i="1"/>
  <c r="L350" i="1"/>
  <c r="M350" i="1"/>
  <c r="N350" i="1"/>
  <c r="O350" i="1"/>
  <c r="P350" i="1"/>
  <c r="Q350" i="1"/>
  <c r="F350" i="1"/>
  <c r="G371" i="1"/>
  <c r="H371" i="1"/>
  <c r="I371" i="1"/>
  <c r="J371" i="1"/>
  <c r="K371" i="1"/>
  <c r="L371" i="1"/>
  <c r="M371" i="1"/>
  <c r="N371" i="1"/>
  <c r="O371" i="1"/>
  <c r="P371" i="1"/>
  <c r="Q371" i="1"/>
  <c r="F371" i="1"/>
  <c r="G372" i="1"/>
  <c r="H372" i="1"/>
  <c r="I372" i="1"/>
  <c r="J372" i="1"/>
  <c r="K372" i="1"/>
  <c r="L372" i="1"/>
  <c r="M372" i="1"/>
  <c r="N372" i="1"/>
  <c r="O372" i="1"/>
  <c r="P372" i="1"/>
  <c r="Q372" i="1"/>
  <c r="F372" i="1"/>
  <c r="G367" i="1"/>
  <c r="H367" i="1"/>
  <c r="I367" i="1"/>
  <c r="J367" i="1"/>
  <c r="K367" i="1"/>
  <c r="L367" i="1"/>
  <c r="M367" i="1"/>
  <c r="N367" i="1"/>
  <c r="O367" i="1"/>
  <c r="P367" i="1"/>
  <c r="Q367" i="1"/>
  <c r="F367" i="1"/>
  <c r="G351" i="1"/>
  <c r="H351" i="1"/>
  <c r="I351" i="1"/>
  <c r="J351" i="1"/>
  <c r="K351" i="1"/>
  <c r="L351" i="1"/>
  <c r="M351" i="1"/>
  <c r="N351" i="1"/>
  <c r="O351" i="1"/>
  <c r="P351" i="1"/>
  <c r="Q351" i="1"/>
  <c r="F351" i="1"/>
  <c r="G359" i="1"/>
  <c r="H359" i="1"/>
  <c r="I359" i="1"/>
  <c r="J359" i="1"/>
  <c r="K359" i="1"/>
  <c r="L359" i="1"/>
  <c r="M359" i="1"/>
  <c r="N359" i="1"/>
  <c r="O359" i="1"/>
  <c r="P359" i="1"/>
  <c r="Q359" i="1"/>
  <c r="F359" i="1"/>
  <c r="G360" i="1"/>
  <c r="H360" i="1"/>
  <c r="I360" i="1"/>
  <c r="J360" i="1"/>
  <c r="K360" i="1"/>
  <c r="L360" i="1"/>
  <c r="M360" i="1"/>
  <c r="N360" i="1"/>
  <c r="O360" i="1"/>
  <c r="P360" i="1"/>
  <c r="Q360" i="1"/>
  <c r="F360" i="1"/>
  <c r="G355" i="1"/>
  <c r="H355" i="1"/>
  <c r="I355" i="1"/>
  <c r="J355" i="1"/>
  <c r="K355" i="1"/>
  <c r="L355" i="1"/>
  <c r="M355" i="1"/>
  <c r="N355" i="1"/>
  <c r="O355" i="1"/>
  <c r="P355" i="1"/>
  <c r="Q355" i="1"/>
  <c r="F355" i="1"/>
  <c r="G356" i="1"/>
  <c r="H356" i="1"/>
  <c r="I356" i="1"/>
  <c r="J356" i="1"/>
  <c r="K356" i="1"/>
  <c r="L356" i="1"/>
  <c r="M356" i="1"/>
  <c r="N356" i="1"/>
  <c r="O356" i="1"/>
  <c r="P356" i="1"/>
  <c r="Q356" i="1"/>
  <c r="F356" i="1"/>
  <c r="G352" i="1"/>
  <c r="H352" i="1"/>
  <c r="I352" i="1"/>
  <c r="J352" i="1"/>
  <c r="K352" i="1"/>
  <c r="L352" i="1"/>
  <c r="M352" i="1"/>
  <c r="N352" i="1"/>
  <c r="O352" i="1"/>
  <c r="P352" i="1"/>
  <c r="Q352" i="1"/>
  <c r="F352" i="1"/>
  <c r="G353" i="1"/>
  <c r="H353" i="1"/>
  <c r="I353" i="1"/>
  <c r="J353" i="1"/>
  <c r="K353" i="1"/>
  <c r="L353" i="1"/>
  <c r="M353" i="1"/>
  <c r="N353" i="1"/>
  <c r="O353" i="1"/>
  <c r="P353" i="1"/>
  <c r="Q353" i="1"/>
  <c r="F353" i="1"/>
  <c r="G340" i="1"/>
  <c r="H340" i="1"/>
  <c r="I340" i="1"/>
  <c r="J340" i="1"/>
  <c r="K340" i="1"/>
  <c r="L340" i="1"/>
  <c r="M340" i="1"/>
  <c r="N340" i="1"/>
  <c r="O340" i="1"/>
  <c r="P340" i="1"/>
  <c r="Q340" i="1"/>
  <c r="F340" i="1"/>
  <c r="G341" i="1"/>
  <c r="H341" i="1"/>
  <c r="I341" i="1"/>
  <c r="J341" i="1"/>
  <c r="K341" i="1"/>
  <c r="L341" i="1"/>
  <c r="M341" i="1"/>
  <c r="N341" i="1"/>
  <c r="O341" i="1"/>
  <c r="P341" i="1"/>
  <c r="Q341" i="1"/>
  <c r="F341" i="1"/>
  <c r="G347" i="1"/>
  <c r="H347" i="1"/>
  <c r="I347" i="1"/>
  <c r="J347" i="1"/>
  <c r="K347" i="1"/>
  <c r="L347" i="1"/>
  <c r="M347" i="1"/>
  <c r="N347" i="1"/>
  <c r="O347" i="1"/>
  <c r="P347" i="1"/>
  <c r="Q347" i="1"/>
  <c r="F347" i="1"/>
  <c r="G348" i="1"/>
  <c r="H348" i="1"/>
  <c r="I348" i="1"/>
  <c r="J348" i="1"/>
  <c r="K348" i="1"/>
  <c r="L348" i="1"/>
  <c r="M348" i="1"/>
  <c r="N348" i="1"/>
  <c r="O348" i="1"/>
  <c r="P348" i="1"/>
  <c r="Q348" i="1"/>
  <c r="F348" i="1"/>
  <c r="G342" i="1"/>
  <c r="H342" i="1"/>
  <c r="I342" i="1"/>
  <c r="J342" i="1"/>
  <c r="K342" i="1"/>
  <c r="L342" i="1"/>
  <c r="M342" i="1"/>
  <c r="N342" i="1"/>
  <c r="O342" i="1"/>
  <c r="P342" i="1"/>
  <c r="Q342" i="1"/>
  <c r="F342" i="1"/>
  <c r="G336" i="1"/>
  <c r="H336" i="1"/>
  <c r="I336" i="1"/>
  <c r="J336" i="1"/>
  <c r="K336" i="1"/>
  <c r="L336" i="1"/>
  <c r="M336" i="1"/>
  <c r="N336" i="1"/>
  <c r="O336" i="1"/>
  <c r="P336" i="1"/>
  <c r="Q336" i="1"/>
  <c r="F336" i="1"/>
  <c r="G337" i="1"/>
  <c r="H337" i="1"/>
  <c r="I337" i="1"/>
  <c r="J337" i="1"/>
  <c r="K337" i="1"/>
  <c r="L337" i="1"/>
  <c r="M337" i="1"/>
  <c r="N337" i="1"/>
  <c r="O337" i="1"/>
  <c r="P337" i="1"/>
  <c r="Q337" i="1"/>
  <c r="F337" i="1"/>
  <c r="G326" i="1"/>
  <c r="H326" i="1"/>
  <c r="I326" i="1"/>
  <c r="J326" i="1"/>
  <c r="K326" i="1"/>
  <c r="L326" i="1"/>
  <c r="M326" i="1"/>
  <c r="N326" i="1"/>
  <c r="O326" i="1"/>
  <c r="P326" i="1"/>
  <c r="Q326" i="1"/>
  <c r="F326" i="1"/>
  <c r="G328" i="1"/>
  <c r="H328" i="1"/>
  <c r="I328" i="1"/>
  <c r="J328" i="1"/>
  <c r="K328" i="1"/>
  <c r="L328" i="1"/>
  <c r="M328" i="1"/>
  <c r="N328" i="1"/>
  <c r="O328" i="1"/>
  <c r="P328" i="1"/>
  <c r="Q328" i="1"/>
  <c r="F328" i="1"/>
  <c r="G321" i="1"/>
  <c r="H321" i="1"/>
  <c r="I321" i="1"/>
  <c r="J321" i="1"/>
  <c r="K321" i="1"/>
  <c r="L321" i="1"/>
  <c r="M321" i="1"/>
  <c r="N321" i="1"/>
  <c r="O321" i="1"/>
  <c r="P321" i="1"/>
  <c r="Q321" i="1"/>
  <c r="F321" i="1"/>
  <c r="G322" i="1"/>
  <c r="H322" i="1"/>
  <c r="I322" i="1"/>
  <c r="J322" i="1"/>
  <c r="K322" i="1"/>
  <c r="L322" i="1"/>
  <c r="M322" i="1"/>
  <c r="N322" i="1"/>
  <c r="O322" i="1"/>
  <c r="P322" i="1"/>
  <c r="Q322" i="1"/>
  <c r="F322" i="1"/>
  <c r="G249" i="1"/>
  <c r="H249" i="1"/>
  <c r="I249" i="1"/>
  <c r="J249" i="1"/>
  <c r="K249" i="1"/>
  <c r="L249" i="1"/>
  <c r="M249" i="1"/>
  <c r="N249" i="1"/>
  <c r="O249" i="1"/>
  <c r="P249" i="1"/>
  <c r="Q249" i="1"/>
  <c r="F249" i="1"/>
  <c r="F250" i="1"/>
  <c r="F251" i="1"/>
  <c r="F312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G312" i="1"/>
  <c r="H312" i="1"/>
  <c r="I312" i="1"/>
  <c r="J312" i="1"/>
  <c r="K312" i="1"/>
  <c r="L312" i="1"/>
  <c r="M312" i="1"/>
  <c r="N312" i="1"/>
  <c r="O312" i="1"/>
  <c r="P312" i="1"/>
  <c r="Q312" i="1"/>
  <c r="G307" i="1"/>
  <c r="H307" i="1"/>
  <c r="I307" i="1"/>
  <c r="J307" i="1"/>
  <c r="K307" i="1"/>
  <c r="L307" i="1"/>
  <c r="M307" i="1"/>
  <c r="N307" i="1"/>
  <c r="O307" i="1"/>
  <c r="P307" i="1"/>
  <c r="Q307" i="1"/>
  <c r="F307" i="1"/>
  <c r="F302" i="1"/>
  <c r="F279" i="1"/>
  <c r="F280" i="1"/>
  <c r="F271" i="1"/>
  <c r="F254" i="1"/>
  <c r="G245" i="1"/>
  <c r="H245" i="1"/>
  <c r="I245" i="1"/>
  <c r="J245" i="1"/>
  <c r="K245" i="1"/>
  <c r="L245" i="1"/>
  <c r="M245" i="1"/>
  <c r="N245" i="1"/>
  <c r="O245" i="1"/>
  <c r="P245" i="1"/>
  <c r="Q245" i="1"/>
  <c r="F245" i="1"/>
  <c r="G246" i="1"/>
  <c r="H246" i="1"/>
  <c r="I246" i="1"/>
  <c r="J246" i="1"/>
  <c r="K246" i="1"/>
  <c r="L246" i="1"/>
  <c r="M246" i="1"/>
  <c r="N246" i="1"/>
  <c r="O246" i="1"/>
  <c r="P246" i="1"/>
  <c r="Q246" i="1"/>
  <c r="F246" i="1"/>
  <c r="G247" i="1"/>
  <c r="H247" i="1"/>
  <c r="I247" i="1"/>
  <c r="J247" i="1"/>
  <c r="K247" i="1"/>
  <c r="L247" i="1"/>
  <c r="M247" i="1"/>
  <c r="N247" i="1"/>
  <c r="O247" i="1"/>
  <c r="P247" i="1"/>
  <c r="Q247" i="1"/>
  <c r="F247" i="1"/>
  <c r="G238" i="1"/>
  <c r="H238" i="1"/>
  <c r="I238" i="1"/>
  <c r="J238" i="1"/>
  <c r="K238" i="1"/>
  <c r="L238" i="1"/>
  <c r="M238" i="1"/>
  <c r="N238" i="1"/>
  <c r="O238" i="1"/>
  <c r="P238" i="1"/>
  <c r="Q238" i="1"/>
  <c r="F238" i="1"/>
  <c r="G242" i="1"/>
  <c r="H242" i="1"/>
  <c r="I242" i="1"/>
  <c r="J242" i="1"/>
  <c r="K242" i="1"/>
  <c r="L242" i="1"/>
  <c r="M242" i="1"/>
  <c r="N242" i="1"/>
  <c r="O242" i="1"/>
  <c r="P242" i="1"/>
  <c r="Q242" i="1"/>
  <c r="F242" i="1"/>
  <c r="G243" i="1"/>
  <c r="H243" i="1"/>
  <c r="I243" i="1"/>
  <c r="J243" i="1"/>
  <c r="K243" i="1"/>
  <c r="L243" i="1"/>
  <c r="M243" i="1"/>
  <c r="N243" i="1"/>
  <c r="O243" i="1"/>
  <c r="P243" i="1"/>
  <c r="Q243" i="1"/>
  <c r="F243" i="1"/>
  <c r="G240" i="1"/>
  <c r="H240" i="1"/>
  <c r="I240" i="1"/>
  <c r="J240" i="1"/>
  <c r="K240" i="1"/>
  <c r="L240" i="1"/>
  <c r="M240" i="1"/>
  <c r="N240" i="1"/>
  <c r="O240" i="1"/>
  <c r="P240" i="1"/>
  <c r="Q240" i="1"/>
  <c r="F240" i="1"/>
  <c r="F239" i="1"/>
  <c r="G209" i="1"/>
  <c r="H209" i="1"/>
  <c r="I209" i="1"/>
  <c r="J209" i="1"/>
  <c r="K209" i="1"/>
  <c r="L209" i="1"/>
  <c r="M209" i="1"/>
  <c r="N209" i="1"/>
  <c r="O209" i="1"/>
  <c r="P209" i="1"/>
  <c r="Q209" i="1"/>
  <c r="F209" i="1"/>
  <c r="F210" i="1"/>
  <c r="G233" i="1"/>
  <c r="H233" i="1"/>
  <c r="I233" i="1"/>
  <c r="J233" i="1"/>
  <c r="K233" i="1"/>
  <c r="L233" i="1"/>
  <c r="M233" i="1"/>
  <c r="N233" i="1"/>
  <c r="O233" i="1"/>
  <c r="P233" i="1"/>
  <c r="Q233" i="1"/>
  <c r="F233" i="1"/>
  <c r="G234" i="1"/>
  <c r="H234" i="1"/>
  <c r="I234" i="1"/>
  <c r="J234" i="1"/>
  <c r="K234" i="1"/>
  <c r="L234" i="1"/>
  <c r="M234" i="1"/>
  <c r="N234" i="1"/>
  <c r="O234" i="1"/>
  <c r="P234" i="1"/>
  <c r="Q234" i="1"/>
  <c r="F234" i="1"/>
  <c r="G231" i="1"/>
  <c r="H231" i="1"/>
  <c r="I231" i="1"/>
  <c r="J231" i="1"/>
  <c r="K231" i="1"/>
  <c r="L231" i="1"/>
  <c r="M231" i="1"/>
  <c r="N231" i="1"/>
  <c r="O231" i="1"/>
  <c r="P231" i="1"/>
  <c r="Q231" i="1"/>
  <c r="F231" i="1"/>
  <c r="G227" i="1"/>
  <c r="H227" i="1"/>
  <c r="I227" i="1"/>
  <c r="J227" i="1"/>
  <c r="K227" i="1"/>
  <c r="L227" i="1"/>
  <c r="M227" i="1"/>
  <c r="N227" i="1"/>
  <c r="O227" i="1"/>
  <c r="P227" i="1"/>
  <c r="Q227" i="1"/>
  <c r="F227" i="1"/>
  <c r="G224" i="1"/>
  <c r="H224" i="1"/>
  <c r="I224" i="1"/>
  <c r="J224" i="1"/>
  <c r="K224" i="1"/>
  <c r="L224" i="1"/>
  <c r="M224" i="1"/>
  <c r="N224" i="1"/>
  <c r="O224" i="1"/>
  <c r="P224" i="1"/>
  <c r="Q224" i="1"/>
  <c r="F224" i="1"/>
  <c r="G219" i="1"/>
  <c r="H219" i="1"/>
  <c r="I219" i="1"/>
  <c r="J219" i="1"/>
  <c r="J218" i="1" s="1"/>
  <c r="K219" i="1"/>
  <c r="L219" i="1"/>
  <c r="M219" i="1"/>
  <c r="N219" i="1"/>
  <c r="O219" i="1"/>
  <c r="P219" i="1"/>
  <c r="P218" i="1" s="1"/>
  <c r="Q219" i="1"/>
  <c r="F219" i="1"/>
  <c r="F218" i="1"/>
  <c r="G218" i="1"/>
  <c r="H218" i="1"/>
  <c r="I218" i="1"/>
  <c r="K218" i="1"/>
  <c r="L218" i="1"/>
  <c r="M218" i="1"/>
  <c r="N218" i="1"/>
  <c r="O218" i="1"/>
  <c r="Q218" i="1"/>
  <c r="G213" i="1"/>
  <c r="H213" i="1"/>
  <c r="I213" i="1"/>
  <c r="J213" i="1"/>
  <c r="K213" i="1"/>
  <c r="L213" i="1"/>
  <c r="M213" i="1"/>
  <c r="N213" i="1"/>
  <c r="O213" i="1"/>
  <c r="P213" i="1"/>
  <c r="Q213" i="1"/>
  <c r="F213" i="1"/>
  <c r="G214" i="1"/>
  <c r="H214" i="1"/>
  <c r="I214" i="1"/>
  <c r="J214" i="1"/>
  <c r="K214" i="1"/>
  <c r="L214" i="1"/>
  <c r="M214" i="1"/>
  <c r="N214" i="1"/>
  <c r="O214" i="1"/>
  <c r="P214" i="1"/>
  <c r="Q214" i="1"/>
  <c r="F214" i="1"/>
  <c r="G211" i="1"/>
  <c r="H211" i="1"/>
  <c r="I211" i="1"/>
  <c r="J211" i="1"/>
  <c r="K211" i="1"/>
  <c r="L211" i="1"/>
  <c r="M211" i="1"/>
  <c r="N211" i="1"/>
  <c r="O211" i="1"/>
  <c r="P211" i="1"/>
  <c r="Q211" i="1"/>
  <c r="F211" i="1"/>
  <c r="G192" i="1"/>
  <c r="H192" i="1"/>
  <c r="I192" i="1"/>
  <c r="J192" i="1"/>
  <c r="K192" i="1"/>
  <c r="L192" i="1"/>
  <c r="M192" i="1"/>
  <c r="N192" i="1"/>
  <c r="O192" i="1"/>
  <c r="P192" i="1"/>
  <c r="Q192" i="1"/>
  <c r="F192" i="1"/>
  <c r="F205" i="1"/>
  <c r="F193" i="1"/>
  <c r="G204" i="1"/>
  <c r="H204" i="1"/>
  <c r="I204" i="1"/>
  <c r="J204" i="1"/>
  <c r="K204" i="1"/>
  <c r="L204" i="1"/>
  <c r="M204" i="1"/>
  <c r="N204" i="1"/>
  <c r="O204" i="1"/>
  <c r="P204" i="1"/>
  <c r="Q204" i="1"/>
  <c r="F204" i="1"/>
  <c r="G205" i="1"/>
  <c r="H205" i="1"/>
  <c r="I205" i="1"/>
  <c r="J205" i="1"/>
  <c r="K205" i="1"/>
  <c r="L205" i="1"/>
  <c r="M205" i="1"/>
  <c r="N205" i="1"/>
  <c r="O205" i="1"/>
  <c r="P205" i="1"/>
  <c r="Q205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G197" i="1"/>
  <c r="H197" i="1"/>
  <c r="I197" i="1"/>
  <c r="J197" i="1"/>
  <c r="K197" i="1"/>
  <c r="L197" i="1"/>
  <c r="M197" i="1"/>
  <c r="N197" i="1"/>
  <c r="O197" i="1"/>
  <c r="P197" i="1"/>
  <c r="Q197" i="1"/>
  <c r="F197" i="1"/>
  <c r="G198" i="1"/>
  <c r="H198" i="1"/>
  <c r="I198" i="1"/>
  <c r="J198" i="1"/>
  <c r="K198" i="1"/>
  <c r="L198" i="1"/>
  <c r="M198" i="1"/>
  <c r="N198" i="1"/>
  <c r="O198" i="1"/>
  <c r="F198" i="1"/>
  <c r="G194" i="1"/>
  <c r="H194" i="1"/>
  <c r="I194" i="1"/>
  <c r="J194" i="1"/>
  <c r="K194" i="1"/>
  <c r="L194" i="1"/>
  <c r="M194" i="1"/>
  <c r="N194" i="1"/>
  <c r="O194" i="1"/>
  <c r="P194" i="1"/>
  <c r="Q194" i="1"/>
  <c r="F194" i="1"/>
  <c r="F133" i="1"/>
  <c r="G137" i="1"/>
  <c r="H137" i="1"/>
  <c r="I137" i="1"/>
  <c r="J137" i="1"/>
  <c r="K137" i="1"/>
  <c r="L137" i="1"/>
  <c r="M137" i="1"/>
  <c r="N137" i="1"/>
  <c r="O137" i="1"/>
  <c r="P137" i="1"/>
  <c r="Q137" i="1"/>
  <c r="F137" i="1"/>
  <c r="G186" i="1"/>
  <c r="H186" i="1"/>
  <c r="I186" i="1"/>
  <c r="J186" i="1"/>
  <c r="K186" i="1"/>
  <c r="L186" i="1"/>
  <c r="M186" i="1"/>
  <c r="N186" i="1"/>
  <c r="O186" i="1"/>
  <c r="P186" i="1"/>
  <c r="Q186" i="1"/>
  <c r="F186" i="1"/>
  <c r="G190" i="1"/>
  <c r="H190" i="1"/>
  <c r="I190" i="1"/>
  <c r="J190" i="1"/>
  <c r="K190" i="1"/>
  <c r="L190" i="1"/>
  <c r="M190" i="1"/>
  <c r="N190" i="1"/>
  <c r="O190" i="1"/>
  <c r="P190" i="1"/>
  <c r="Q190" i="1"/>
  <c r="F190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G141" i="1"/>
  <c r="H141" i="1"/>
  <c r="I141" i="1"/>
  <c r="J141" i="1"/>
  <c r="K141" i="1"/>
  <c r="L141" i="1"/>
  <c r="M141" i="1"/>
  <c r="N141" i="1"/>
  <c r="O141" i="1"/>
  <c r="P141" i="1"/>
  <c r="Q141" i="1"/>
  <c r="F141" i="1"/>
  <c r="G138" i="1"/>
  <c r="H138" i="1"/>
  <c r="I138" i="1"/>
  <c r="J138" i="1"/>
  <c r="K138" i="1"/>
  <c r="L138" i="1"/>
  <c r="M138" i="1"/>
  <c r="N138" i="1"/>
  <c r="O138" i="1"/>
  <c r="P138" i="1"/>
  <c r="Q138" i="1"/>
  <c r="F138" i="1"/>
  <c r="G133" i="1"/>
  <c r="H133" i="1"/>
  <c r="I133" i="1"/>
  <c r="J133" i="1"/>
  <c r="K133" i="1"/>
  <c r="L133" i="1"/>
  <c r="M133" i="1"/>
  <c r="N133" i="1"/>
  <c r="O133" i="1"/>
  <c r="P133" i="1"/>
  <c r="Q133" i="1"/>
  <c r="G134" i="1"/>
  <c r="H134" i="1"/>
  <c r="I134" i="1"/>
  <c r="J134" i="1"/>
  <c r="K134" i="1"/>
  <c r="L134" i="1"/>
  <c r="M134" i="1"/>
  <c r="N134" i="1"/>
  <c r="O134" i="1"/>
  <c r="P134" i="1"/>
  <c r="Q134" i="1"/>
  <c r="F134" i="1"/>
  <c r="G135" i="1"/>
  <c r="H135" i="1"/>
  <c r="I135" i="1"/>
  <c r="J135" i="1"/>
  <c r="K135" i="1"/>
  <c r="L135" i="1"/>
  <c r="M135" i="1"/>
  <c r="N135" i="1"/>
  <c r="O135" i="1"/>
  <c r="P135" i="1"/>
  <c r="Q135" i="1"/>
  <c r="F135" i="1"/>
  <c r="G126" i="1"/>
  <c r="H126" i="1"/>
  <c r="I126" i="1"/>
  <c r="J126" i="1"/>
  <c r="K126" i="1"/>
  <c r="L126" i="1"/>
  <c r="M126" i="1"/>
  <c r="N126" i="1"/>
  <c r="O126" i="1"/>
  <c r="P126" i="1"/>
  <c r="Q126" i="1"/>
  <c r="F126" i="1"/>
  <c r="G124" i="1"/>
  <c r="H124" i="1"/>
  <c r="I124" i="1"/>
  <c r="J124" i="1"/>
  <c r="K124" i="1"/>
  <c r="L124" i="1"/>
  <c r="M124" i="1"/>
  <c r="N124" i="1"/>
  <c r="O124" i="1"/>
  <c r="P124" i="1"/>
  <c r="Q124" i="1"/>
  <c r="F124" i="1"/>
  <c r="G121" i="1"/>
  <c r="H121" i="1"/>
  <c r="I121" i="1"/>
  <c r="J121" i="1"/>
  <c r="K121" i="1"/>
  <c r="L121" i="1"/>
  <c r="M121" i="1"/>
  <c r="N121" i="1"/>
  <c r="O121" i="1"/>
  <c r="P121" i="1"/>
  <c r="Q121" i="1"/>
  <c r="F121" i="1"/>
  <c r="G119" i="1"/>
  <c r="H119" i="1"/>
  <c r="I119" i="1"/>
  <c r="J119" i="1"/>
  <c r="K119" i="1"/>
  <c r="L119" i="1"/>
  <c r="M119" i="1"/>
  <c r="N119" i="1"/>
  <c r="O119" i="1"/>
  <c r="P119" i="1"/>
  <c r="Q119" i="1"/>
  <c r="F119" i="1"/>
  <c r="M99" i="1"/>
  <c r="N99" i="1"/>
  <c r="O99" i="1"/>
  <c r="P99" i="1"/>
  <c r="Q99" i="1"/>
  <c r="H24" i="1"/>
  <c r="I24" i="1"/>
  <c r="J24" i="1"/>
  <c r="K24" i="1"/>
  <c r="L24" i="1"/>
  <c r="M24" i="1"/>
  <c r="N24" i="1"/>
  <c r="O24" i="1"/>
  <c r="P24" i="1"/>
  <c r="Q24" i="1"/>
  <c r="F24" i="1"/>
  <c r="H25" i="1"/>
  <c r="I25" i="1"/>
  <c r="J25" i="1"/>
  <c r="K25" i="1"/>
  <c r="L25" i="1"/>
  <c r="M25" i="1"/>
  <c r="N25" i="1"/>
  <c r="O25" i="1"/>
  <c r="P25" i="1"/>
  <c r="Q25" i="1"/>
  <c r="F71" i="1"/>
  <c r="G74" i="1"/>
  <c r="H74" i="1"/>
  <c r="I74" i="1"/>
  <c r="J74" i="1"/>
  <c r="K74" i="1"/>
  <c r="L74" i="1"/>
  <c r="M74" i="1"/>
  <c r="N74" i="1"/>
  <c r="O74" i="1"/>
  <c r="P74" i="1"/>
  <c r="Q74" i="1"/>
  <c r="F74" i="1"/>
  <c r="G92" i="1"/>
  <c r="H92" i="1"/>
  <c r="I92" i="1"/>
  <c r="J92" i="1"/>
  <c r="K92" i="1"/>
  <c r="L92" i="1"/>
  <c r="M92" i="1"/>
  <c r="N92" i="1"/>
  <c r="O92" i="1"/>
  <c r="P92" i="1"/>
  <c r="Q92" i="1"/>
  <c r="F92" i="1"/>
  <c r="G93" i="1"/>
  <c r="H93" i="1"/>
  <c r="I93" i="1"/>
  <c r="J93" i="1"/>
  <c r="K93" i="1"/>
  <c r="L93" i="1"/>
  <c r="M93" i="1"/>
  <c r="N93" i="1"/>
  <c r="O93" i="1"/>
  <c r="P93" i="1"/>
  <c r="Q93" i="1"/>
  <c r="F93" i="1"/>
  <c r="G90" i="1"/>
  <c r="H90" i="1"/>
  <c r="I90" i="1"/>
  <c r="J90" i="1"/>
  <c r="K90" i="1"/>
  <c r="L90" i="1"/>
  <c r="M90" i="1"/>
  <c r="N90" i="1"/>
  <c r="O90" i="1"/>
  <c r="P90" i="1"/>
  <c r="Q90" i="1"/>
  <c r="F90" i="1"/>
  <c r="G88" i="1"/>
  <c r="H88" i="1"/>
  <c r="I88" i="1"/>
  <c r="J88" i="1"/>
  <c r="K88" i="1"/>
  <c r="L88" i="1"/>
  <c r="M88" i="1"/>
  <c r="N88" i="1"/>
  <c r="O88" i="1"/>
  <c r="P88" i="1"/>
  <c r="Q88" i="1"/>
  <c r="F88" i="1"/>
  <c r="G84" i="1"/>
  <c r="H84" i="1"/>
  <c r="I84" i="1"/>
  <c r="J84" i="1"/>
  <c r="K84" i="1"/>
  <c r="L84" i="1"/>
  <c r="M84" i="1"/>
  <c r="N84" i="1"/>
  <c r="O84" i="1"/>
  <c r="P84" i="1"/>
  <c r="Q84" i="1"/>
  <c r="F84" i="1"/>
  <c r="G79" i="1"/>
  <c r="H79" i="1"/>
  <c r="I79" i="1"/>
  <c r="J79" i="1"/>
  <c r="K79" i="1"/>
  <c r="L79" i="1"/>
  <c r="M79" i="1"/>
  <c r="N79" i="1"/>
  <c r="O79" i="1"/>
  <c r="P79" i="1"/>
  <c r="Q79" i="1"/>
  <c r="F79" i="1"/>
  <c r="G80" i="1"/>
  <c r="H80" i="1"/>
  <c r="I80" i="1"/>
  <c r="J80" i="1"/>
  <c r="K80" i="1"/>
  <c r="L80" i="1"/>
  <c r="M80" i="1"/>
  <c r="N80" i="1"/>
  <c r="O80" i="1"/>
  <c r="P80" i="1"/>
  <c r="Q80" i="1"/>
  <c r="F80" i="1"/>
  <c r="G77" i="1"/>
  <c r="H77" i="1"/>
  <c r="I77" i="1"/>
  <c r="J77" i="1"/>
  <c r="K77" i="1"/>
  <c r="L77" i="1"/>
  <c r="M77" i="1"/>
  <c r="N77" i="1"/>
  <c r="O77" i="1"/>
  <c r="P77" i="1"/>
  <c r="Q77" i="1"/>
  <c r="F77" i="1"/>
  <c r="G75" i="1"/>
  <c r="H75" i="1"/>
  <c r="I75" i="1"/>
  <c r="J75" i="1"/>
  <c r="K75" i="1"/>
  <c r="L75" i="1"/>
  <c r="M75" i="1"/>
  <c r="N75" i="1"/>
  <c r="O75" i="1"/>
  <c r="P75" i="1"/>
  <c r="Q75" i="1"/>
  <c r="F75" i="1"/>
  <c r="G71" i="1"/>
  <c r="H71" i="1"/>
  <c r="I71" i="1"/>
  <c r="J71" i="1"/>
  <c r="K71" i="1"/>
  <c r="L71" i="1"/>
  <c r="M71" i="1"/>
  <c r="N71" i="1"/>
  <c r="O71" i="1"/>
  <c r="P71" i="1"/>
  <c r="Q71" i="1"/>
  <c r="G72" i="1"/>
  <c r="H72" i="1"/>
  <c r="I72" i="1"/>
  <c r="J72" i="1"/>
  <c r="K72" i="1"/>
  <c r="L72" i="1"/>
  <c r="M72" i="1"/>
  <c r="N72" i="1"/>
  <c r="O72" i="1"/>
  <c r="P72" i="1"/>
  <c r="Q72" i="1"/>
  <c r="F72" i="1"/>
  <c r="F25" i="1"/>
  <c r="H35" i="1" l="1"/>
  <c r="I35" i="1"/>
  <c r="J35" i="1"/>
  <c r="K35" i="1"/>
  <c r="L35" i="1"/>
  <c r="M35" i="1"/>
  <c r="N35" i="1"/>
  <c r="O35" i="1"/>
  <c r="P35" i="1"/>
  <c r="Q35" i="1"/>
  <c r="F35" i="1"/>
  <c r="H36" i="1"/>
  <c r="I36" i="1"/>
  <c r="J36" i="1"/>
  <c r="K36" i="1"/>
  <c r="L36" i="1"/>
  <c r="M36" i="1"/>
  <c r="N36" i="1"/>
  <c r="O36" i="1"/>
  <c r="P36" i="1"/>
  <c r="Q36" i="1"/>
  <c r="F36" i="1"/>
  <c r="H38" i="1"/>
  <c r="I38" i="1"/>
  <c r="J38" i="1"/>
  <c r="K38" i="1"/>
  <c r="L38" i="1"/>
  <c r="M38" i="1"/>
  <c r="N38" i="1"/>
  <c r="O38" i="1"/>
  <c r="P38" i="1"/>
  <c r="Q38" i="1"/>
  <c r="F38" i="1"/>
  <c r="G33" i="1"/>
  <c r="H33" i="1"/>
  <c r="I33" i="1"/>
  <c r="J33" i="1"/>
  <c r="K33" i="1"/>
  <c r="L33" i="1"/>
  <c r="M33" i="1"/>
  <c r="N33" i="1"/>
  <c r="O33" i="1"/>
  <c r="P33" i="1"/>
  <c r="Q33" i="1"/>
  <c r="F33" i="1"/>
  <c r="G31" i="1"/>
  <c r="H31" i="1"/>
  <c r="I31" i="1"/>
  <c r="J31" i="1"/>
  <c r="K31" i="1"/>
  <c r="L31" i="1"/>
  <c r="M31" i="1"/>
  <c r="N31" i="1"/>
  <c r="O31" i="1"/>
  <c r="P31" i="1"/>
  <c r="Q31" i="1"/>
  <c r="F31" i="1"/>
  <c r="G28" i="1"/>
  <c r="H28" i="1"/>
  <c r="I28" i="1"/>
  <c r="J28" i="1"/>
  <c r="K28" i="1"/>
  <c r="L28" i="1"/>
  <c r="M28" i="1"/>
  <c r="N28" i="1"/>
  <c r="O28" i="1"/>
  <c r="P28" i="1"/>
  <c r="Q28" i="1"/>
  <c r="F28" i="1"/>
  <c r="G26" i="1"/>
  <c r="H26" i="1"/>
  <c r="I26" i="1"/>
  <c r="J26" i="1"/>
  <c r="K26" i="1"/>
  <c r="L26" i="1"/>
  <c r="M26" i="1"/>
  <c r="N26" i="1"/>
  <c r="O26" i="1"/>
  <c r="P26" i="1"/>
  <c r="Q26" i="1"/>
  <c r="F26" i="1"/>
  <c r="Q251" i="1"/>
  <c r="P251" i="1"/>
  <c r="O251" i="1"/>
  <c r="N251" i="1"/>
  <c r="M251" i="1"/>
  <c r="L251" i="1"/>
  <c r="K251" i="1"/>
  <c r="J251" i="1"/>
  <c r="I251" i="1"/>
  <c r="H251" i="1"/>
  <c r="G251" i="1"/>
  <c r="G302" i="1" l="1"/>
  <c r="H302" i="1"/>
  <c r="I302" i="1"/>
  <c r="J302" i="1"/>
  <c r="K302" i="1"/>
  <c r="L302" i="1"/>
  <c r="M302" i="1"/>
  <c r="N302" i="1"/>
  <c r="O302" i="1"/>
  <c r="P302" i="1"/>
  <c r="Q302" i="1"/>
  <c r="L220" i="1" l="1"/>
  <c r="H220" i="1"/>
  <c r="K114" i="1"/>
  <c r="J114" i="1"/>
  <c r="H114" i="1"/>
  <c r="L114" i="1" s="1"/>
  <c r="G114" i="1"/>
  <c r="F114" i="1"/>
  <c r="G254" i="1" l="1"/>
  <c r="H254" i="1"/>
  <c r="I254" i="1"/>
  <c r="J254" i="1"/>
  <c r="K254" i="1"/>
  <c r="L254" i="1"/>
  <c r="M254" i="1"/>
  <c r="N254" i="1"/>
  <c r="O254" i="1"/>
  <c r="P254" i="1"/>
  <c r="Q254" i="1"/>
  <c r="G271" i="1" l="1"/>
  <c r="H271" i="1"/>
  <c r="I271" i="1"/>
  <c r="J271" i="1"/>
  <c r="K271" i="1"/>
  <c r="L271" i="1"/>
  <c r="M271" i="1"/>
  <c r="N271" i="1"/>
  <c r="O271" i="1"/>
  <c r="P271" i="1"/>
  <c r="Q271" i="1"/>
  <c r="F477" i="1" l="1"/>
  <c r="I107" i="1" l="1"/>
  <c r="I99" i="1" s="1"/>
  <c r="M107" i="1"/>
  <c r="N107" i="1"/>
  <c r="O107" i="1"/>
  <c r="P107" i="1"/>
  <c r="Q107" i="1"/>
  <c r="G327" i="1" l="1"/>
  <c r="G394" i="1" l="1"/>
  <c r="H394" i="1"/>
  <c r="I394" i="1"/>
  <c r="J394" i="1"/>
  <c r="K394" i="1"/>
  <c r="L394" i="1"/>
  <c r="M394" i="1"/>
  <c r="N394" i="1"/>
  <c r="O394" i="1"/>
  <c r="P394" i="1"/>
  <c r="Q394" i="1"/>
  <c r="O226" i="1" l="1"/>
  <c r="K226" i="1"/>
  <c r="L226" i="1" l="1"/>
  <c r="P226" i="1"/>
  <c r="F294" i="1"/>
  <c r="R163" i="1" l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62" i="1"/>
  <c r="S162" i="1" s="1"/>
  <c r="Z181" i="1"/>
  <c r="Z179" i="1"/>
  <c r="Z172" i="1"/>
  <c r="H107" i="1" l="1"/>
  <c r="H99" i="1" s="1"/>
  <c r="J107" i="1"/>
  <c r="J99" i="1" s="1"/>
  <c r="F107" i="1"/>
  <c r="F99" i="1" s="1"/>
  <c r="K107" i="1"/>
  <c r="K99" i="1" s="1"/>
  <c r="L107" i="1"/>
  <c r="L99" i="1" s="1"/>
  <c r="O70" i="1" l="1"/>
  <c r="K69" i="1"/>
  <c r="O68" i="1"/>
  <c r="K67" i="1"/>
  <c r="O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O50" i="1"/>
  <c r="G49" i="1"/>
  <c r="G48" i="1"/>
  <c r="K47" i="1"/>
  <c r="K46" i="1"/>
  <c r="K45" i="1"/>
  <c r="G45" i="1"/>
  <c r="G44" i="1"/>
  <c r="K43" i="1"/>
  <c r="G43" i="1"/>
  <c r="K42" i="1"/>
  <c r="G42" i="1"/>
  <c r="K41" i="1"/>
  <c r="G41" i="1"/>
  <c r="G40" i="1"/>
  <c r="K39" i="1"/>
  <c r="G39" i="1"/>
  <c r="G38" i="1" l="1"/>
  <c r="G36" i="1" s="1"/>
  <c r="G35" i="1" s="1"/>
  <c r="G25" i="1" s="1"/>
  <c r="G24" i="1" s="1"/>
  <c r="F12" i="1"/>
  <c r="F478" i="1" l="1"/>
  <c r="Q294" i="1" l="1"/>
  <c r="P294" i="1"/>
  <c r="O294" i="1"/>
  <c r="N294" i="1"/>
  <c r="M294" i="1"/>
  <c r="L294" i="1"/>
  <c r="K294" i="1"/>
  <c r="J294" i="1"/>
  <c r="I294" i="1"/>
  <c r="H294" i="1"/>
  <c r="G294" i="1"/>
  <c r="Q280" i="1"/>
  <c r="P280" i="1"/>
  <c r="O280" i="1"/>
  <c r="N280" i="1"/>
  <c r="M280" i="1"/>
  <c r="L280" i="1"/>
  <c r="K280" i="1"/>
  <c r="J280" i="1"/>
  <c r="I280" i="1"/>
  <c r="H280" i="1"/>
  <c r="G280" i="1"/>
  <c r="Z287" i="1"/>
  <c r="Z285" i="1"/>
  <c r="Z284" i="1"/>
  <c r="Z283" i="1"/>
  <c r="Z282" i="1"/>
  <c r="Z281" i="1"/>
  <c r="G279" i="1" l="1"/>
  <c r="H279" i="1"/>
  <c r="I279" i="1"/>
  <c r="J279" i="1"/>
  <c r="K279" i="1"/>
  <c r="L279" i="1"/>
  <c r="M279" i="1"/>
  <c r="N279" i="1"/>
  <c r="O279" i="1"/>
  <c r="P279" i="1"/>
  <c r="Q279" i="1"/>
  <c r="F310" i="1"/>
  <c r="F16" i="1" l="1"/>
  <c r="F320" i="1"/>
  <c r="F319" i="1" s="1"/>
  <c r="F20" i="1" l="1"/>
  <c r="K188" i="1" l="1"/>
  <c r="G188" i="1"/>
  <c r="G140" i="1"/>
  <c r="G139" i="1"/>
  <c r="F153" i="1"/>
  <c r="G136" i="1"/>
  <c r="K125" i="1"/>
  <c r="G125" i="1"/>
  <c r="K123" i="1"/>
  <c r="G123" i="1"/>
  <c r="K122" i="1"/>
  <c r="G122" i="1"/>
  <c r="K120" i="1"/>
  <c r="G120" i="1"/>
  <c r="K118" i="1"/>
  <c r="G118" i="1"/>
  <c r="K117" i="1"/>
  <c r="K116" i="1"/>
  <c r="G116" i="1"/>
  <c r="K115" i="1"/>
  <c r="G115" i="1"/>
  <c r="G110" i="1"/>
  <c r="G109" i="1"/>
  <c r="G108" i="1"/>
  <c r="G106" i="1"/>
  <c r="G105" i="1"/>
  <c r="F104" i="1"/>
  <c r="G103" i="1"/>
  <c r="S102" i="1"/>
  <c r="R102" i="1"/>
  <c r="K100" i="1"/>
  <c r="G100" i="1"/>
  <c r="K101" i="1"/>
  <c r="G101" i="1"/>
  <c r="G107" i="1" l="1"/>
  <c r="G99" i="1" s="1"/>
  <c r="G104" i="1"/>
  <c r="G20" i="1"/>
  <c r="H20" i="1"/>
  <c r="I20" i="1"/>
  <c r="J20" i="1"/>
  <c r="K20" i="1"/>
  <c r="L20" i="1"/>
  <c r="M20" i="1"/>
  <c r="N20" i="1"/>
  <c r="O20" i="1"/>
  <c r="P20" i="1"/>
  <c r="Q20" i="1"/>
  <c r="G325" i="1"/>
  <c r="H325" i="1" s="1"/>
  <c r="G324" i="1"/>
  <c r="H324" i="1" s="1"/>
  <c r="G323" i="1"/>
  <c r="H323" i="1" s="1"/>
  <c r="Z217" i="1"/>
  <c r="Z216" i="1"/>
  <c r="H215" i="1"/>
  <c r="Z215" i="1" s="1"/>
  <c r="G210" i="1" l="1"/>
  <c r="I210" i="1"/>
  <c r="J210" i="1"/>
  <c r="K210" i="1"/>
  <c r="L210" i="1"/>
  <c r="M210" i="1"/>
  <c r="N210" i="1"/>
  <c r="O210" i="1"/>
  <c r="P210" i="1"/>
  <c r="Q210" i="1"/>
  <c r="G15" i="1" l="1"/>
  <c r="F15" i="1"/>
  <c r="J15" i="1"/>
  <c r="N15" i="1"/>
  <c r="M15" i="1"/>
  <c r="L15" i="1"/>
  <c r="Q15" i="1"/>
  <c r="K15" i="1"/>
  <c r="P15" i="1"/>
  <c r="O15" i="1"/>
  <c r="I15" i="1"/>
  <c r="H210" i="1"/>
  <c r="H15" i="1" l="1"/>
  <c r="H23" i="1" l="1"/>
  <c r="M23" i="1"/>
  <c r="G23" i="1"/>
  <c r="O23" i="1"/>
  <c r="L23" i="1"/>
  <c r="F23" i="1"/>
  <c r="P23" i="1"/>
  <c r="K23" i="1"/>
  <c r="I23" i="1"/>
  <c r="Q23" i="1"/>
  <c r="J23" i="1"/>
  <c r="G404" i="1" l="1"/>
  <c r="H404" i="1"/>
  <c r="I404" i="1"/>
  <c r="J404" i="1"/>
  <c r="K404" i="1"/>
  <c r="L404" i="1"/>
  <c r="M404" i="1"/>
  <c r="N404" i="1"/>
  <c r="O404" i="1"/>
  <c r="P404" i="1"/>
  <c r="Q404" i="1"/>
  <c r="G397" i="1" l="1"/>
  <c r="H397" i="1"/>
  <c r="I397" i="1"/>
  <c r="J397" i="1"/>
  <c r="K397" i="1"/>
  <c r="L397" i="1"/>
  <c r="M397" i="1"/>
  <c r="N397" i="1"/>
  <c r="O397" i="1"/>
  <c r="P397" i="1"/>
  <c r="Q397" i="1"/>
  <c r="F22" i="1"/>
  <c r="G22" i="1"/>
  <c r="H22" i="1"/>
  <c r="I22" i="1"/>
  <c r="J22" i="1"/>
  <c r="K22" i="1"/>
  <c r="L22" i="1"/>
  <c r="M22" i="1"/>
  <c r="N22" i="1"/>
  <c r="O22" i="1"/>
  <c r="P22" i="1"/>
  <c r="Q22" i="1"/>
  <c r="G310" i="1" l="1"/>
  <c r="H310" i="1"/>
  <c r="I310" i="1"/>
  <c r="J310" i="1"/>
  <c r="K310" i="1"/>
  <c r="L310" i="1"/>
  <c r="M310" i="1"/>
  <c r="N310" i="1"/>
  <c r="O310" i="1"/>
  <c r="P310" i="1"/>
  <c r="Q310" i="1"/>
  <c r="G388" i="1"/>
  <c r="H388" i="1"/>
  <c r="I388" i="1"/>
  <c r="J388" i="1"/>
  <c r="K388" i="1"/>
  <c r="L388" i="1"/>
  <c r="M388" i="1"/>
  <c r="N388" i="1"/>
  <c r="O388" i="1"/>
  <c r="P388" i="1"/>
  <c r="Q388" i="1"/>
  <c r="L21" i="1"/>
  <c r="J483" i="1"/>
  <c r="F483" i="1"/>
  <c r="J482" i="1"/>
  <c r="F482" i="1"/>
  <c r="J478" i="1"/>
  <c r="J477" i="1"/>
  <c r="L250" i="1" l="1"/>
  <c r="G21" i="1"/>
  <c r="Q250" i="1"/>
  <c r="K250" i="1"/>
  <c r="P250" i="1"/>
  <c r="J250" i="1"/>
  <c r="M21" i="1"/>
  <c r="F21" i="1"/>
  <c r="K21" i="1"/>
  <c r="P21" i="1"/>
  <c r="J21" i="1"/>
  <c r="O250" i="1"/>
  <c r="I250" i="1"/>
  <c r="Q21" i="1"/>
  <c r="O21" i="1"/>
  <c r="I21" i="1"/>
  <c r="N250" i="1"/>
  <c r="H250" i="1"/>
  <c r="N21" i="1"/>
  <c r="H21" i="1"/>
  <c r="M250" i="1"/>
  <c r="G250" i="1"/>
  <c r="L16" i="1"/>
  <c r="H16" i="1" l="1"/>
  <c r="N16" i="1"/>
  <c r="J16" i="1"/>
  <c r="Q16" i="1"/>
  <c r="I16" i="1"/>
  <c r="O16" i="1"/>
  <c r="P16" i="1"/>
  <c r="M16" i="1"/>
  <c r="G16" i="1"/>
  <c r="K16" i="1"/>
  <c r="N12" i="1" l="1"/>
  <c r="L12" i="1"/>
  <c r="O12" i="1" l="1"/>
  <c r="P12" i="1"/>
  <c r="K12" i="1"/>
  <c r="H12" i="1"/>
  <c r="I12" i="1"/>
  <c r="Q12" i="1"/>
  <c r="G12" i="1"/>
  <c r="M12" i="1"/>
  <c r="V425" i="1" l="1"/>
  <c r="V428" i="1"/>
  <c r="V427" i="1"/>
  <c r="G320" i="1" l="1"/>
  <c r="H320" i="1"/>
  <c r="I320" i="1"/>
  <c r="J320" i="1"/>
  <c r="K320" i="1"/>
  <c r="L320" i="1"/>
  <c r="M320" i="1"/>
  <c r="N320" i="1"/>
  <c r="O320" i="1"/>
  <c r="P320" i="1"/>
  <c r="Q320" i="1"/>
  <c r="K319" i="1" l="1"/>
  <c r="K17" i="1"/>
  <c r="L319" i="1"/>
  <c r="L17" i="1"/>
  <c r="P319" i="1"/>
  <c r="P17" i="1"/>
  <c r="H319" i="1"/>
  <c r="H17" i="1"/>
  <c r="Q319" i="1"/>
  <c r="Q17" i="1"/>
  <c r="J319" i="1"/>
  <c r="J17" i="1"/>
  <c r="O319" i="1"/>
  <c r="O17" i="1"/>
  <c r="I319" i="1"/>
  <c r="I17" i="1"/>
  <c r="N319" i="1"/>
  <c r="N17" i="1"/>
  <c r="M319" i="1"/>
  <c r="M17" i="1"/>
  <c r="G319" i="1"/>
  <c r="G17" i="1"/>
  <c r="O483" i="1"/>
  <c r="O482" i="1" s="1"/>
  <c r="O481" i="1" s="1"/>
  <c r="O480" i="1" s="1"/>
  <c r="O474" i="1" s="1"/>
  <c r="M483" i="1"/>
  <c r="M482" i="1" s="1"/>
  <c r="M481" i="1" s="1"/>
  <c r="M480" i="1" s="1"/>
  <c r="M474" i="1" s="1"/>
  <c r="L483" i="1"/>
  <c r="L482" i="1" s="1"/>
  <c r="L481" i="1" s="1"/>
  <c r="L480" i="1" s="1"/>
  <c r="L474" i="1" s="1"/>
  <c r="I483" i="1"/>
  <c r="I482" i="1" s="1"/>
  <c r="I481" i="1" s="1"/>
  <c r="I480" i="1" s="1"/>
  <c r="I474" i="1" s="1"/>
  <c r="H483" i="1"/>
  <c r="H482" i="1" s="1"/>
  <c r="H481" i="1" s="1"/>
  <c r="H480" i="1" s="1"/>
  <c r="H474" i="1" s="1"/>
  <c r="Q483" i="1"/>
  <c r="Q482" i="1" s="1"/>
  <c r="Q481" i="1" s="1"/>
  <c r="Q480" i="1" s="1"/>
  <c r="Q474" i="1" s="1"/>
  <c r="P483" i="1"/>
  <c r="P482" i="1" s="1"/>
  <c r="P481" i="1" s="1"/>
  <c r="P480" i="1" s="1"/>
  <c r="P474" i="1" s="1"/>
  <c r="P198" i="1" l="1"/>
  <c r="Q198" i="1"/>
  <c r="G193" i="1" l="1"/>
  <c r="M193" i="1"/>
  <c r="F13" i="1"/>
  <c r="Q193" i="1"/>
  <c r="P193" i="1"/>
  <c r="L193" i="1"/>
  <c r="K193" i="1"/>
  <c r="J193" i="1"/>
  <c r="O193" i="1"/>
  <c r="I193" i="1"/>
  <c r="N193" i="1"/>
  <c r="H193" i="1"/>
  <c r="G366" i="1" l="1"/>
  <c r="G19" i="1" s="1"/>
  <c r="H366" i="1"/>
  <c r="H19" i="1" s="1"/>
  <c r="I366" i="1"/>
  <c r="I19" i="1" s="1"/>
  <c r="J366" i="1"/>
  <c r="J19" i="1" s="1"/>
  <c r="K366" i="1"/>
  <c r="K19" i="1" s="1"/>
  <c r="L366" i="1"/>
  <c r="L19" i="1" s="1"/>
  <c r="M366" i="1"/>
  <c r="M19" i="1" s="1"/>
  <c r="N366" i="1"/>
  <c r="N19" i="1" s="1"/>
  <c r="O366" i="1"/>
  <c r="O19" i="1" s="1"/>
  <c r="P366" i="1"/>
  <c r="P19" i="1" s="1"/>
  <c r="Q366" i="1"/>
  <c r="Q19" i="1" s="1"/>
  <c r="F366" i="1"/>
  <c r="F19" i="1" s="1"/>
  <c r="P18" i="1" l="1"/>
  <c r="O18" i="1"/>
  <c r="G18" i="1"/>
  <c r="N18" i="1"/>
  <c r="M18" i="1"/>
  <c r="I18" i="1"/>
  <c r="H18" i="1"/>
  <c r="Q18" i="1"/>
  <c r="K18" i="1"/>
  <c r="L18" i="1"/>
  <c r="J18" i="1"/>
  <c r="F18" i="1" l="1"/>
  <c r="G239" i="1"/>
  <c r="H239" i="1"/>
  <c r="I239" i="1"/>
  <c r="J239" i="1"/>
  <c r="K239" i="1"/>
  <c r="L239" i="1"/>
  <c r="M239" i="1"/>
  <c r="N239" i="1"/>
  <c r="N13" i="1" s="1"/>
  <c r="O239" i="1"/>
  <c r="P239" i="1"/>
  <c r="Q239" i="1"/>
  <c r="L13" i="1" l="1"/>
  <c r="Q13" i="1"/>
  <c r="K13" i="1"/>
  <c r="P13" i="1"/>
  <c r="J13" i="1"/>
  <c r="O13" i="1"/>
  <c r="I13" i="1"/>
  <c r="H13" i="1"/>
  <c r="M13" i="1"/>
  <c r="G13" i="1"/>
  <c r="J98" i="1"/>
  <c r="J97" i="1" s="1"/>
  <c r="N98" i="1"/>
  <c r="N97" i="1" s="1"/>
  <c r="M98" i="1" l="1"/>
  <c r="G98" i="1"/>
  <c r="I98" i="1"/>
  <c r="L98" i="1"/>
  <c r="P98" i="1"/>
  <c r="O98" i="1"/>
  <c r="H98" i="1"/>
  <c r="Q98" i="1"/>
  <c r="K98" i="1"/>
  <c r="H14" i="1"/>
  <c r="H11" i="1" s="1"/>
  <c r="Q14" i="1"/>
  <c r="Q11" i="1" s="1"/>
  <c r="Q97" i="1" l="1"/>
  <c r="Q10" i="1" s="1"/>
  <c r="O97" i="1"/>
  <c r="O10" i="1" s="1"/>
  <c r="P14" i="1"/>
  <c r="P11" i="1" s="1"/>
  <c r="P97" i="1"/>
  <c r="P10" i="1" s="1"/>
  <c r="L97" i="1"/>
  <c r="L10" i="1" s="1"/>
  <c r="K14" i="1"/>
  <c r="K11" i="1" s="1"/>
  <c r="K97" i="1"/>
  <c r="I97" i="1"/>
  <c r="I10" i="1" s="1"/>
  <c r="G14" i="1"/>
  <c r="G11" i="1" s="1"/>
  <c r="G97" i="1"/>
  <c r="G10" i="1" s="1"/>
  <c r="H97" i="1"/>
  <c r="H10" i="1" s="1"/>
  <c r="M97" i="1"/>
  <c r="M10" i="1" s="1"/>
  <c r="L14" i="1"/>
  <c r="L11" i="1" s="1"/>
  <c r="O14" i="1"/>
  <c r="O11" i="1" s="1"/>
  <c r="I14" i="1"/>
  <c r="I11" i="1" s="1"/>
  <c r="K10" i="1"/>
  <c r="M14" i="1"/>
  <c r="M11" i="1" s="1"/>
  <c r="J14" i="1"/>
  <c r="J10" i="1"/>
  <c r="J12" i="1"/>
  <c r="J11" i="1" l="1"/>
  <c r="F98" i="1" l="1"/>
  <c r="F97" i="1" s="1"/>
  <c r="F17" i="1"/>
  <c r="N10" i="1" l="1"/>
  <c r="N14" i="1" l="1"/>
  <c r="F14" i="1"/>
  <c r="F11" i="1" s="1"/>
  <c r="N23" i="1" l="1"/>
  <c r="N11" i="1" s="1"/>
  <c r="F10" i="1"/>
</calcChain>
</file>

<file path=xl/sharedStrings.xml><?xml version="1.0" encoding="utf-8"?>
<sst xmlns="http://schemas.openxmlformats.org/spreadsheetml/2006/main" count="6825" uniqueCount="1181">
  <si>
    <t>№ п/п</t>
  </si>
  <si>
    <t>1.</t>
  </si>
  <si>
    <t>I.</t>
  </si>
  <si>
    <t>Наименование ГП РФ, федеральных проектов вне национальных проектов, федеральных проектов в рамках национальных проектов, мероприятия (объекта)</t>
  </si>
  <si>
    <t>субсидия</t>
  </si>
  <si>
    <t>III.</t>
  </si>
  <si>
    <t xml:space="preserve">субвенция 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</si>
  <si>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</si>
  <si>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2.</t>
  </si>
  <si>
    <t>Субсидии на повышение эффективности службы занятости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</si>
  <si>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</si>
  <si>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-</t>
  </si>
  <si>
    <t xml:space="preserve">Не требуется, средства предусмотрены в Федеральном законе от 6 декабря 2021 года №390-ФЗ "О федеральном бюджете на 2022 год и на плановый период 2023 и 2024 годов" </t>
  </si>
  <si>
    <t>Субвенции на 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</si>
  <si>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Комплекс процессных мероприятий "Активная политика занятости населения и социальная поддержка безработных граждан"</t>
  </si>
  <si>
    <t>x</t>
  </si>
  <si>
    <t>Субсидии на переоснащение медицинских организаций, оказывающих медицинскую помощь больным с онкологическими заболеваниями</t>
  </si>
  <si>
    <t>Заявка направляется по запросу МЗ РФ</t>
  </si>
  <si>
    <t>Субсидии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</si>
  <si>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на оснащение оборудованием региональных сосудистых центров и первичных сосудистых отделений</t>
  </si>
  <si>
    <t>2023 год - иной МБТ
2024 год - субсидия</t>
  </si>
  <si>
    <t>Субсидии на обеспечение закупки авиационных работ в целях оказания медицинской помощи</t>
  </si>
  <si>
    <t>Заявка на 2022-2024 годы от 08.09.2021 г. № 02-09-7150/21</t>
  </si>
  <si>
    <t>Субсидии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</si>
  <si>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на реализацию региональных проектов модернизации первичного звена здравоохранения:</t>
  </si>
  <si>
    <t>1.1.</t>
  </si>
  <si>
    <t>Капитальный ремонт объектов здравоохранения, приобретение медицинского оборудования, автомобильного транспорта</t>
  </si>
  <si>
    <t>Строительство и (или) реконструкция объектов здравоохранения, приобретение, монтаж и оснащение модульных конструкций</t>
  </si>
  <si>
    <t>Строительство, проектирование и (или) реконструкция объектов здравоохранения</t>
  </si>
  <si>
    <t>II.</t>
  </si>
  <si>
    <t>Субсидия в целях развития системы паллиативной медицинской помощи</t>
  </si>
  <si>
    <t>МЕЖБЮДЖЕТНЫЕ ТРАНСФЕРТЫ ВНЕ ФЕДЕРАЛЬНЫХ И НАЦИОНАЛЬНЫХ ПРОЕКТОВ</t>
  </si>
  <si>
    <t>Комплекс процессных мероприятий "Предупреждение и борьба с социально значимыми заболеваниями"</t>
  </si>
  <si>
    <t>Субсидия на реализацию мероприятий по предупреждению и борьбе с социально значимыми инфекционными заболеваниями:</t>
  </si>
  <si>
    <t>Закупка диагностических средств для выявления и мониторинга лечения лиц, инфицированных вирусами иммунодефицита человека, в том числе в сочетании с вирусами гепатитов В и (или) С, в соответствии с перечнем, утвержденным Министерством здравоохранения Российской Федерации</t>
  </si>
  <si>
    <t>Закупка диагностических средств для выявления, определения чувствительности микобактерии туберкулеза и мониторинга лечения лиц, больных туберкулезом с множественной лекарственной устойчивостью возбудителя, в соответствии с перечнем, утвержденным Министерством здравоохранения Российской Федерации, а также медицинских изделий в соответствии со стандартом оснащения, предусмотренным порядком оказания медицинской помощи больным туберкулезом</t>
  </si>
  <si>
    <t>Профилактика ВИЧ-инфекции и гепатитов В и С, в том числе с привлечением к реализации указанных мероприятий социально ориентированных некоммерческих организаций</t>
  </si>
  <si>
    <t>Комплекс процессных мероприятий "Обеспечение отдельных категорий граждан лекарственными препаратами"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</si>
  <si>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</si>
  <si>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субвенция</t>
  </si>
  <si>
    <t>Заявка не направляется</t>
  </si>
  <si>
    <t>Отдельные полномочия в области лекарственного обеспечения</t>
  </si>
  <si>
    <t>3.</t>
  </si>
  <si>
    <t>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</si>
  <si>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Комплекс процессных мероприятий "Управление кадровыми ресурсами здравоохранения"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</si>
  <si>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</si>
  <si>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Комплекс процессных мероприятий "Организация донорства и трансплантации органов в Российской Федерации"</t>
  </si>
  <si>
    <t>Медицинская деятельность, связанная с донорством органов человека в целях трансплантации (пересадки), включающей проведение мероприятий по медицинскому обследованию донора, обеспечению сохранности донорских органов до их изъятия у донора, изъятию донорских органов, хранению и транспортировке донорских органов и иных мероприятий, направленных на обеспечение этой деятельности</t>
  </si>
  <si>
    <t>2.1.</t>
  </si>
  <si>
    <t>2.2.</t>
  </si>
  <si>
    <t>3.1.</t>
  </si>
  <si>
    <t>4.1.</t>
  </si>
  <si>
    <t>5.1.</t>
  </si>
  <si>
    <t>5.1.1.</t>
  </si>
  <si>
    <t>5.1.2.</t>
  </si>
  <si>
    <t>Комплекс процессных мероприятий "Развитие системы оказания паллиативной медицинской помощи"</t>
  </si>
  <si>
    <t>Комплекс процессных мероприятий "Высокотехнологичная медицинская помощь и медицинская помощь, оказываемая в рамках клинической апробации методов профилактики, диагностики, лечения и реабилитации"</t>
  </si>
  <si>
    <t>3.1.1.</t>
  </si>
  <si>
    <t>3.1.2.</t>
  </si>
  <si>
    <t>3.1.3.</t>
  </si>
  <si>
    <t>4.</t>
  </si>
  <si>
    <t>4.2.</t>
  </si>
  <si>
    <t>4.3.</t>
  </si>
  <si>
    <t>5.</t>
  </si>
  <si>
    <t>6.</t>
  </si>
  <si>
    <t>6.1.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</si>
  <si>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</si>
  <si>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Субсидии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</si>
  <si>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7.</t>
  </si>
  <si>
    <t>7.1.</t>
  </si>
  <si>
    <t>13.</t>
  </si>
  <si>
    <t>ГОСУДАРСТВЕННАЯ ПРОГРАММА РОССИЙСКОЙ ФЕДЕРАЦИИ "РАЗВИТИЕ ЗДРАВООХРАНЕНИЯ"</t>
  </si>
  <si>
    <t>ГОСУДАРСТВЕННАЯ ПРОГРАММА РОССИЙСКОЙ ФЕДЕРАЦИИ "СОДЕЙСТВИЕ ЗАНЯТОСТИ НАСЕЛЕНИЯ"</t>
  </si>
  <si>
    <t>3.2.</t>
  </si>
  <si>
    <t>8.</t>
  </si>
  <si>
    <t xml:space="preserve">НАЦИОНАЛЬНЫЙ ПРОЕКТ "ДЕМОГРАФИЯ" </t>
  </si>
  <si>
    <t>Субвенции на осуществление ежемесячной выплаты в связи с рождением (усыновлением) первого ребенка</t>
  </si>
  <si>
    <t>х</t>
  </si>
  <si>
    <t>1.2.</t>
  </si>
  <si>
    <t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</si>
  <si>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</si>
  <si>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на выплату региональных социальных доплат к пенсии</t>
  </si>
  <si>
    <t xml:space="preserve">Субсидии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 </t>
  </si>
  <si>
    <t>Комплекс процессных мероприятий "Предоставление мер социальной поддержки отдельным категориям граждан"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</si>
  <si>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</si>
  <si>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№157-ФЗ "Об иммунопрофилактике инфекционных болезней"</t>
  </si>
  <si>
    <t>1.3.</t>
  </si>
  <si>
    <t>Субвенции на оплату жилищно-коммунальных услуг отдельным категориям граждан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</si>
  <si>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</si>
  <si>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Завадская Валерия Валерьевна - ведущий специалист-эксперт отдела работы с категориями граждан Департамента реализации инвестиционных проектов и организации бюджетного процесса Министерства строительства и
жилищно-коммунального хозяйства РФ, тел. (495) 647-15-80, доб.58016</t>
  </si>
  <si>
    <t>НАЦИОНАЛЬНЫЙ ПРОЕКТ "ЗДРАВООХРАНЕНИЕ"</t>
  </si>
  <si>
    <t>НАЦИОНАЛЬНЫЙ ПРОЕКТ "ДЕМОГРАФИЯ"</t>
  </si>
  <si>
    <t>ГОСУДАРСТВЕННАЯ ПРОГРАММА РОССИЙСКОЙ ФЕДЕРАЦИИ "ИНФОРМАЦИОННОЕ ОБЩЕСТВО"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</si>
  <si>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</si>
  <si>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Субвенции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</si>
  <si>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</si>
  <si>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20.</t>
  </si>
  <si>
    <t>ФЕДЕРАЛЬНЫЙ ПРОЕКТ "ИНФОРМАЦИОННАЯ ИНФРАСТРУКТУРА"</t>
  </si>
  <si>
    <t>I</t>
  </si>
  <si>
    <t>НАЦИОНАЛЬНЫЙ ПРОЕКТ "НАЦИОНАЛЬНАЯ ПРОГРАММА "ЦИФРОВАЯ ЭКОНОМИКА РОССИЙСКОЙ ФЕДЕРАЦИИ"</t>
  </si>
  <si>
    <t>Субсидии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</si>
  <si>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ФЕДЕРАЛЬНЫЙ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 (ВНЕ НАЦИОНАЛЬНЫХ ПРОЕКТОВ)</t>
  </si>
  <si>
    <t>ФЕДЕРАЛЬНЫЙ ПРОЕКТ "СОДЕЙСТВИЕ СУБЪЕКТАМ РОССИЙСКОЙ ФЕДЕРАЦИИ В РЕАЛИЗАЦИИ АДРЕСНОЙ СОЦИАЛЬНОЙ ПОДДЕРЖКИ ГРАЖДАН" (ВНЕ НАЦИОНАЛЬНЫХ ПРОЕКТОВ)</t>
  </si>
  <si>
    <t>ФЕДЕРАЛЬНЫЙ ПРОЕКТ "СОВЕРШЕНСТВОВАНИЕ ГОСУДАРСТВЕННО-ОБЩЕСТВЕННОГО ПАРТНЕРСТВА В СФЕРЕ ГОСУДАРСТВЕННОЙ НАЦИОНАЛЬНОЙ ПОЛИТИКИ И В ОТНОШЕНИИ РОССИЙСКОГО КАЗАЧЕСТВА, А ТАКЖЕ РЕАЛИЗАЦИЯ ГОСУДАРСТВЕННОЙ НАЦИОНАЛЬНОЙ ПОЛИТИКИ В СУБЪЕКТАХ РОССИЙСКОЙ ФЕДЕРАЦИИ, В ТОМ ЧИСЛЕ ПОДДЕРЖКА ЭКОНОМИЧЕСКОГО И СОЦИАЛЬНОГО РАЗВИТИЯ КОРЕННЫХ МАЛОЧИСЛЕННЫХ НАРОДОВ СЕВЕРА, СИБИРИ И ДАЛЬНЕГО ВОСТОКА РОССИЙСКОЙ ФЕДЕРАЦИИ" (ВНЕ НАЦИОНАЛЬНЫХ ПРОЕКТОВ)</t>
  </si>
  <si>
    <t>Субсидии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</si>
  <si>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не требуется</t>
  </si>
  <si>
    <t>Субсидии на поддержку региональных проектов в сфере информационных технологий</t>
  </si>
  <si>
    <t>cубсидия</t>
  </si>
  <si>
    <t>ФЕДЕРАЛЬНЫЙ ПРОЕКТ "РАЗВИТИЕ ЦИФРОВЫХ И ИНФОРМАЦИОННЫХ ПРОЕКТОВ НА ТЕРРИТОРИИ СУБЪЕКТОВ РОССИЙСКОЙ ФЕДЕРАЦИИ" (ВНЕ НАЦИОНАЛЬНЫХ ПРОЕКТОВ)</t>
  </si>
  <si>
    <t>Субсидия на реализацию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</si>
  <si>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ГОСУДАРСТВЕННАЯ ПРОГРАММА РОССИЙСКОЙ ФЕДЕРАЦИИ "РАЗВИТИЕ ОБРАЗОВАНИЯ"</t>
  </si>
  <si>
    <t xml:space="preserve">НАЦИОНАЛЬНЫЙ ПРОЕКТ "ОБРАЗОВАНИЕ" </t>
  </si>
  <si>
    <t>Субсидии на реализацию мероприятий по обеспечению жильем молодых семей</t>
  </si>
  <si>
    <t>иной МБТ</t>
  </si>
  <si>
    <t>НАЦИОНАЛЬНЫЙ ПРОЕКТ "ЖИЛЬЕ И ГОРОДСКАЯ СРЕДА"</t>
  </si>
  <si>
    <t>Субсидии на реализацию программ
формирования современной городской среды</t>
  </si>
  <si>
    <t>Подготавливаются заявки на 2024 год</t>
  </si>
  <si>
    <t>Заявки на рассмотрении</t>
  </si>
  <si>
    <t>Субсидии на строительство и реконструкцию (модернизацию) объектов питьевого водоснабжения</t>
  </si>
  <si>
    <t>Направлены бюджетные заявки: от 23.03.2021 № 02-58-2810/21, от 22.03.2022 № 02-58-1740/22</t>
  </si>
  <si>
    <t>9.</t>
  </si>
  <si>
    <t>НАЦИОНАЛЬНЫЙ ПРОЕКТ "ЭКОЛОГИЯ"</t>
  </si>
  <si>
    <t>Направлена бюджетная заявка от 05.03.2022 № 02-58-1429/22</t>
  </si>
  <si>
    <t>Субсидии на модернизацию и строительство очистных сооружений для очистки загрязненных сточных вод, поступающих в озеро Байкал и другие водные объекты Байкальской природной территории, укрепление берегов озера Байкал, совершенствование и развитие объектов инфраструктуры, необходимых для сохранения уникальной экосистемы озера Байкал</t>
  </si>
  <si>
    <t>Обеспечение поддержки общественных инициатив на создание модульных некапитальных средств размещения (кемпингов и автокемпингов)</t>
  </si>
  <si>
    <t>Обеспечение поддержки реализации общественных инициатив, направленных на развитие туристической инфраструктуры</t>
  </si>
  <si>
    <t>Государственная поддержка региональных программ по проектированию туристского кода центра города</t>
  </si>
  <si>
    <t>ГОСУДАРСТВЕННАЯ ПРОГРАММА РОССИЙСКОЙ ФЕДЕРАЦИИ "РАЗВИТИЕ ТУРИЗМА"</t>
  </si>
  <si>
    <t>НАЦИОНАЛЬНЫЙ ПРОЕКТ "ТУРИЗМ И ИНДУСТРИЯ ГОСТЕПРИИМСТВА"</t>
  </si>
  <si>
    <t xml:space="preserve">Заявка направлена: 
08.08.2019 № 02-70-4201/19;
12.11.2019 № 02-01-6390/19
28.02.2022 г. в ГИИС "Электронный бюджет" сформирована информация о неиспользованных в 2021 году остатках субсидии из федерального бюджета в соответствии с приказом Минфина России от 16.12.2019 № 233н. </t>
  </si>
  <si>
    <t>Государственная поддержка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</si>
  <si>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Субъектам МСП, а также резидентам промышленных парков, технопарков обеспечено оказание комплексных услуг на единой площадке региональной инфраструктуры поддержки бизнеса, в том числе федеральными институтами развития</t>
  </si>
  <si>
    <t>Субъектам МСП обеспечен льготный доступ к заемным средствам государственных микрофинансовых организаций (количество действующих микрозаймов, выданных МФО)</t>
  </si>
  <si>
    <t>Субъектам МСП обеспечено предоставление поручительств (гарантий) фондов содействия кредитованию (гарантийных фондов, фондов поручительств) (объем финансовой поддержки, оказанной субъектам МСП, при гарантийной поддержке РГО)</t>
  </si>
  <si>
    <t>Субъектами МСП осуществлен экспорт товаров (работ, услуг) при поддержке центров поддержки экспорта (количество субъектов МСП-экспортеров, заключивших экспортные контракты по результатам услуг ЦПЭ)</t>
  </si>
  <si>
    <t>Субъектам МСП обеспечен льготный доступ к производственным площадям и помещениям промышленных парков, технопарков в целях создания (развития) производственных и инновационных компаний (количество субъектов МСП, которые стали резидентами созданных промышленных парков, технопарков по всей территории страны, накопленным итогом)</t>
  </si>
  <si>
    <t>Субсидии на подготовку управленческих кадров для организаций народного хозяйства Российской Федерации</t>
  </si>
  <si>
    <t>Субсидии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</si>
  <si>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Подготовка пакета документов для участия в конкурсе на 2023 год</t>
  </si>
  <si>
    <t>ГОСУДАРСТВЕННАЯ ПРОГРАММА РОССИЙСКОЙ ФЕДЕРАЦИИ "ЭКОНОМИЧЕСКОЕ РАЗВИТИЕ И ИННОВАЦИОННАЯ ЭКОНОМИКА"</t>
  </si>
  <si>
    <t>НАЦИОНАЛЬНЫЙ ПРОЕКТ "МАЛОЕ И СРЕДНЕЕ ПРЕДПРИНИМАТЕЛЬСТВО И ПОДДЕРЖКА ИНДИВИДУАЛЬНОЙ ПРЕДПРИНИМАТЕЛЬСКОЙ ИНИЦИАТИВЫ"</t>
  </si>
  <si>
    <t>НАЦИОНАЛЬНЫЙ ПРОЕКТ "ПРОИЗВОДИТЕЛЬНОСТЬ ТРУДА"</t>
  </si>
  <si>
    <t>ГОСУДАРСТВЕННАЯ ПРОГРАММА РОССИЙСКОЙ ФЕДЕРАЦИИ "РАЗВИТИЕ ПРОМЫШЛЕННОСТИ И ПОВЫШЕНИЕ ЕЕ КОНКУРЕНТОСПОСОБНОСТИ"</t>
  </si>
  <si>
    <t>12.</t>
  </si>
  <si>
    <t>11.</t>
  </si>
  <si>
    <t>Государственная поддержка субъектов Российской Федерации в целях достижения результатов национального проекта "Производительность труда"</t>
  </si>
  <si>
    <t>ФЕДЕРАЛЬНЫЙ ПРОЕКТ "ПОДДЕРЖКА РЕГИОНАЛЬНЫХ ПРОГРАММ РАЗВИТИЯ ПРОМЫШЛЕННОСТИ" (ВНЕ НАЦИОНАЛЬНЫХ ПРОЕКТОВ)</t>
  </si>
  <si>
    <t>ГОСУДАРСТВЕННАЯ ПРОГРАММА РОССИЙСКОЙ ФЕДЕРАЦИИ "РАЗВИТИЕ ФИЗИЧЕСКОЙ КУЛЬТУРЫ И СПОРТА"</t>
  </si>
  <si>
    <t xml:space="preserve">Приобретение спортивного оборудования и инвентаря для приведения организаций спортивной подготовки в нормативное состояние </t>
  </si>
  <si>
    <t>Изутина Татьяна Александровна - начальник отдела Министерства спорта РФ, тел. 89162337456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</si>
  <si>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</si>
  <si>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Иной межбюджетный трансферт бюджету Иркутской области в целях софинансирования расходных обязательств Иркутской области по реализации мероприятий, направленных на выполнение Программы по восстановлению жилья, объектов связи, социальной, коммунальной, энергетической и транспортной инфраструктур, гидротехнических сооружений, административных зданий, поврежденных или утраченных в результате наводнения на территории Иркутской области</t>
  </si>
  <si>
    <t>2023 год - 
иной МБТ,
2024 год - субсидия</t>
  </si>
  <si>
    <t>Реализация мероприятий по укреплению единства российской нации и этнокультурному развитию народов России</t>
  </si>
  <si>
    <t>Приказ ФАДН России от 25.06.2021 № 74 "Об утверждении Порядка отбора субъектов Российской Федерации для предоставления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мероприятий по укреплению единства российской нации и этнокультурному развитию народов России". В соответствии с пунктами 2,3 Порядка (исх. 02-09(70)-6217/21 от 05.08.2021).</t>
  </si>
  <si>
    <t>Субсидии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</si>
  <si>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Стимулирование программ развития жилищного строительства субъектов Российской Федерации</t>
  </si>
  <si>
    <t>Субсидии на мероприятия по переселению граждан из ветхого и аварийного жилья в зоне Байкало-Амурской магистрали</t>
  </si>
  <si>
    <t>Создание новых мест в общеобразовательных организациях</t>
  </si>
  <si>
    <t>Модернизация инфраструктуры общего образования в отдельных субъектах Российской Федерации</t>
  </si>
  <si>
    <t>В июне 2019 года территории муниципальных образований Иркутской области пострадали от наводнения, в результате которого произошло подтопление 110 населенных пунктов региона. Указом Президента Российской Федерации от 3 июля 2019 года № 316 «О мерах по ликвидации последствий наводнения на территории Иркутской области» указанное явление было признано чрезвычайной ситуацией федерального характера, а также для данного паводка был установлен особый уровень реагирования.</t>
  </si>
  <si>
    <t>Создание (восстановление) зданий общеобразовательных организаций, поврежденных или утраченных в результате наводнения на территории Иркутской области</t>
  </si>
  <si>
    <t xml:space="preserve">Заявка от 06.07.2021 № 02-55-7061/21 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</si>
  <si>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</si>
  <si>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</si>
  <si>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Создание детских технопарков "Кванториум"</t>
  </si>
  <si>
    <t>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</si>
  <si>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</si>
  <si>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</si>
  <si>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Минпросвещения: Герцен Дмитрий Александрович,
т. 8 (495) 587-01-10 IP:3417</t>
  </si>
  <si>
    <t>Обеспечение образовательных организаций материально-технической базой для внедрения цифровой образовательной среды</t>
  </si>
  <si>
    <t>Создание центров цифрового образования детей</t>
  </si>
  <si>
    <t>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</si>
  <si>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</si>
  <si>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ФЕДЕРАЛЬНЫЙ ПРОЕКТ "СОЗДАНИЕ УСЛОВИЙ ДЛЯ ОБУЧЕНИЯ, ОТДЫХА И ОЗДОРОВЛЕНИЯ ДЕТЕЙ И МОЛОДЕЖИ" (ВНЕ НАЦИОНАЛЬНЫХ ПРОЕКТОВ)</t>
  </si>
  <si>
    <t>Комплекс процессных мероприятий "Современные механизмы и технологии дошкольного и общего образования"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</si>
  <si>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</si>
  <si>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</si>
  <si>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Иные межбюджетные трансферты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</si>
  <si>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</si>
  <si>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Формирование ИТ-инфраструктуры в государственных (муниципальных) образовательных организациях, реализующих программы общего образования, в соответствии с утвержденным стандартом для обеспечения в помещениях безопасного доступа к государственным, муниципальным и иным информационным системам, а также к информационно-телекоммуникационной сети "Интернет"</t>
  </si>
  <si>
    <t xml:space="preserve">Заявка от 18.12.2020 №02-09-9466/20 </t>
  </si>
  <si>
    <t xml:space="preserve">Субвенция на увеличение площади лесовосстановления в рамках переданных полномочий Российской Федерации субъектам Российской Федерации в области лесных отношений </t>
  </si>
  <si>
    <t>Строительство лесосеменного центра по выращиванию хвойных древесных пород с закрытой корневой системой и переработке лесосеменного сырья</t>
  </si>
  <si>
    <t>Субвенция на осуществление отдельных полномочий в области лесных отношений</t>
  </si>
  <si>
    <t>В соответствии с запросом Рослесхоза министерством лесного комплекса Иркутской области направлена информация о потребности в дополнительных бюджетных ассигнованиях. Потребность на 2022-2024 годы составляет 178 243,2 тыс. рублей ежегодно.</t>
  </si>
  <si>
    <t>Субвенция на осуществление мер пожарной безопасности и тушения лесных пожаров</t>
  </si>
  <si>
    <t>ГОСУДАРСТВЕННАЯ ПРОГРАММА РОССИЙСКОЙ ФЕДЕРАЦИИ "РАЗВИТИЕ ЛЕСНОГО ХОЗЯЙСТВА"</t>
  </si>
  <si>
    <t>Субвенция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в рамках переданных полномочий Российской Федерации субъектам Российской Федерации в области лесных отношений</t>
  </si>
  <si>
    <t>Иной межбюджетный трансферт из федерального бюджета бюджетам субъектов Российской Федерации на реализацию мероприятий по снижению совокупного объема выбросов загрязняющих веществ в атмосферный воздух, снижению уровня загрязнения атмосферного воздуха в крупных промышленных центрах, обеспечивающих достижение целей, показателей и результатов федерального проекта "Чистый воздух" национального проекта "Экология"</t>
  </si>
  <si>
    <t xml:space="preserve">Осуществление отдельных полномочий в области водных отношений </t>
  </si>
  <si>
    <t>Расчистка и дноуглубление русел р.Солзан, р.Харлахта, р.Бабха, р.М.Осиновка, Б.Осиновка, руч.Красный, руч.Болотный, руч.Банный, р.Култучная, р.Медлянка, р.Тиганчиха, р.Б.Быстрая, р.Слюдянка, р.Похабиха, р.Безымянка в г.Байкальске, п.Култук, д.Быстрая, п.Утулик, г.Слюдянка, п.Мангутай Слюдянского района Иркутской области</t>
  </si>
  <si>
    <t>Расчистка русла р. Кундуй, Куйт, Орик, Уляха в пределах населенных пунктов Кушун, Солонцы, Орик, Ук-Бадарановка Нижнеудинского района Иркутской области</t>
  </si>
  <si>
    <t>Расчистка и руслорегулирование реки Ушаковка в г.Иркутске Иркутской области (1 этап)</t>
  </si>
  <si>
    <t>Разработка проектной документации по объекту "Расчистка и регулирование русла реки Шелестиха в г.Усолье-Сибирское Иркутской области"</t>
  </si>
  <si>
    <t>ГОСУДАРСТВЕННАЯ ПРОГРАММА РОССИЙСКОЙ ФЕДЕРАЦИИ "ВОСПРОИЗВОДСТВО И ИСПОЛЬЗОВАНИЕ ПРИРОДНЫХ РЕСУРСОВ"</t>
  </si>
  <si>
    <t>Субсидии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</si>
  <si>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19.</t>
  </si>
  <si>
    <t>НАЦИОНАЛЬНЫЙ ПРОЕКТ "БЕЗОПАСНЫЕ КАЧЕСТВЕННЫЕ ДОРОГИ"</t>
  </si>
  <si>
    <t>14.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</si>
  <si>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</si>
  <si>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Иные межбюджетные трансферты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</si>
  <si>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ФЕДЕРАЛЬНЫЙ ПРОЕКТ "СОДЕЙСТВИЕ РАЗВИТИЮ АВТОМОБИЛЬНЫХ ДОРОГ РЕГИОНАЛЬНОГО, МЕЖМУНИЦИПАЛЬНОГО И МЕСТНОГО ЗНАЧЕНИЯ" (ВНЕ НАЦИОНАЛЬНЫХ ПРОЕКТОВ)</t>
  </si>
  <si>
    <t>II</t>
  </si>
  <si>
    <t>Заявка направлена 27.05.2021 г. №02-09-4017/21</t>
  </si>
  <si>
    <t>НАЦИОНАЛЬНЫЙ ПРОЕКТ "МЕЖДУНАРОДНАЯ КООПЕРАЦИЯ И ЭКСПОРТ"</t>
  </si>
  <si>
    <t>Государственная поддержка стимулирования увеличения производства масличных культур</t>
  </si>
  <si>
    <t>Направление заявок не предусмотрено. Расчет объема субсидии определяет Минсельхоз России в соответствии с правилами, установленными Постановлением Правительства РФ от 05.02.2020 № 86</t>
  </si>
  <si>
    <t>Направление заявок не предусмотрено. Расчет объема субсидии определяет Минсельхоз России в соответствии с правилами, установленными Постановлением Правительства РФ от 14.07.2012 №717 (Приложение 6)</t>
  </si>
  <si>
    <t>Кочеткова Людмила Петровна 
заместитель директора Департамента мелиорации, тел.: 8 (495) 607-66-82</t>
  </si>
  <si>
    <t>Направление заявок не предусмотрено. Расчет объема субсидии определяет Минсельхоз России в соответствии с правилами, установленными Постановлением Правительства РФ от 14.07.2012 №717 (Приложение 7)</t>
  </si>
  <si>
    <t>Создание системы поддержки фермеров и развитие сельской кооперации</t>
  </si>
  <si>
    <t>Оснащение образовательных учреждений в сфере культуры (школ искусств и училищ) музыкальными инструментами, оборудованием и учебными материалами</t>
  </si>
  <si>
    <t>Капитальный ремонт и реконструкция ДШИ</t>
  </si>
  <si>
    <t>Создание модельных муниципальных библиотек</t>
  </si>
  <si>
    <t>Техническое оснащение муниципальных музеев</t>
  </si>
  <si>
    <t>Реконструкция и капитальный ремонт муниципальных музеев</t>
  </si>
  <si>
    <t>Развитие сети учреждений культурно-досугового типа</t>
  </si>
  <si>
    <t>Государственная поддержка отрасли культуры (Государственная поддержка лучших работников сельских учреждений культуры)</t>
  </si>
  <si>
    <t>Создание виртуальных концертных залов</t>
  </si>
  <si>
    <t>Субсидии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</si>
  <si>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Субсидии на поддержку творческой деятельности и техническое оснащение детских и кукольных театров</t>
  </si>
  <si>
    <t>Государственная поддержка отрасли культуры (развитие деятельности модельных библиотек в части комплектования книжных фондов)</t>
  </si>
  <si>
    <t>Федеральная адресная инвестиционная программа</t>
  </si>
  <si>
    <t>ГОСУДАРСТВЕННАЯ ПРОГРАММА РОССИЙСКОЙ ФЕДЕРАЦИИ "РАЗВИТИЕ КУЛЬТУРЫ"</t>
  </si>
  <si>
    <t>НАЦИОНАЛЬНЫЙ ПРОЕКТ "КУЛЬТУРА"</t>
  </si>
  <si>
    <t>ФЕДЕРАЛЬНЫЙ ПРОЕКТ "СОХРАНЕНИЕ КУЛЬТУРНОГО И ИСТОРИЧЕСКОГО НАСЛЕДИЯ" (ВНЕ НАЦИОНАЛЬНЫХ ПРОЕКТОВ)</t>
  </si>
  <si>
    <t>ФЕДЕРАЛЬНЫЙ ПРОЕКТ
"СТИМУЛИРОВАНИЕ ИНВЕСТИЦИОННОЙ ДЕЯТЕЛЬНОСТИ В АГРОПРОМЫШЛЕННОМ КОМПЛЕКСЕ" (ВНЕ НАЦИОНАЛЬНЫХ ПРОЕКТОВ)</t>
  </si>
  <si>
    <t>Направление заявок не предусмотрено. Расчет объема субсидии определяет Минсельхоз России в соответствии с правилами, установленными Постановлением Правительства РФ от 14.07.2012 №717 (Приложение 8)</t>
  </si>
  <si>
    <t>субсидия/иной МБТ</t>
  </si>
  <si>
    <t>Возмещение производителям зерновых культур части затрат на производство и реализацию зерновых культур</t>
  </si>
  <si>
    <t>Субсидии на развитие сельского туризма</t>
  </si>
  <si>
    <t>Возмещение части прямых понесенных затрат на создание и (или) модернизацию объектов агропромышленного комплекса</t>
  </si>
  <si>
    <t>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t>
  </si>
  <si>
    <t>Отбор заявок на 2023 год Минсельхозом России до настоящего времени не объявлен. Расчет объема субсидии определяет Минсельхоз России в соответствии с правилами, установленными Постановлением Правительства РФ от 14.05.2021 № 731</t>
  </si>
  <si>
    <t>Субсидии на подготовку проектов межевания земельных участков и на проведение кадастровых работ</t>
  </si>
  <si>
    <t>ФЕДЕРАЛЬНЫЙ ПРОЕКТ "ВОВЛЕЧЕНИЕ В ОБОРОТ И КОМПЛЕКСНАЯ МЕЛИОРАЦИЯ ЗЕМЕЛЬ СЕЛЬСКОХОЗЯЙСТВЕННОГО НАЗНАЧЕНИЯ" (ВНЕ НАЦИОНАЛЬНЫХ ПРОЕКТОВ)</t>
  </si>
  <si>
    <t>Субсидии на улучшение жилищных условий граждан, проживающих на сельских территориях</t>
  </si>
  <si>
    <t>Субсидия в целях возмещения части затрат по заключенным с обучающимися ученическим договорам и договорам о целевом обучении</t>
  </si>
  <si>
    <t>Субсидия в целях возмещения части затрат, связанных с оплатой труда и проживанием обучающихся, привлеченных для прохождения практики или осуществляющих трудовую деятельность в соответствии с квалификацией, получаемой в результате освоения образовательной программы</t>
  </si>
  <si>
    <t>Субсидии на обеспечение комплексного развития сельских территорий</t>
  </si>
  <si>
    <t>ФЕДЕРАЛЬНЫЙ ПРОЕКТ "СОВРЕМЕННЫЙ ОБЛИК СЕЛЬСКИХ ТЕРРИТОРИЙ" (ВНЕ НАЦИОНАЛЬНЫХ ПРОЕКТОВ)</t>
  </si>
  <si>
    <t>Субсидии на реализацию мероприятий по благоустройству сельских территорий</t>
  </si>
  <si>
    <t>Субсидии на развитие транспортной инфраструктуры на сельских территориях</t>
  </si>
  <si>
    <t>10.</t>
  </si>
  <si>
    <t>ГОСУДАРСТВЕННАЯ ПРОГРАММА РАЗВИТИЕ СЕЛЬСКОГО ХОЗЯЙСТВА И РЕГУЛИРОВАНИЯ РЫНКОВ СЕЛЬСКОХОЗЯЙСТВЕННОЙ ПРОДУКЦИИ, СЫРЬЯ И ПРОДОВОЛЬСТВИЯ</t>
  </si>
  <si>
    <t>15.</t>
  </si>
  <si>
    <t>16.</t>
  </si>
  <si>
    <t>17.</t>
  </si>
  <si>
    <t>18.</t>
  </si>
  <si>
    <t>21.</t>
  </si>
  <si>
    <t>22.</t>
  </si>
  <si>
    <t>ФЕДЕРАЛЬНЫЙ ПРОЕКТ "РАЗВИТИЕ СИСТЕМЫ ОКАЗАНИЯ ПЕРВИЧНОЙ МЕДИКО-САНИТАРНОЙ ПОМОЩИ" (В РАМКАХ НАЦИОНАЛЬНОГО ПРОЕКТА)</t>
  </si>
  <si>
    <t>ФЕДЕРАЛЬНЫЙ ПРОЕКТ "БОРЬБА С СЕРДЕЧНО-СОСУДИСТЫМИ ЗАБОЛЕВАНИЯМИ" (В РАМКАХ НАЦИОНАЛЬНОГО ПРОЕКТА)</t>
  </si>
  <si>
    <t>ФЕДЕРАЛЬНЫЙ ПРОЕКТ "БОРЬБА С ОНКОЛОГИЧЕСКИМИ ЗАБОЛЕВАНИЯМИ" (В РАМКАХ НАЦИОНАЛЬНОГО ПРОЕКТА)</t>
  </si>
  <si>
    <t>ФЕДЕРАЛЬНЫЙ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 (В РАМКАХ НАЦИОНАЛЬНОГО ПРОЕКТА)</t>
  </si>
  <si>
    <t>ФЕДЕРАЛЬНЫЙ ПРОЕКТ "МОДЕРНИЗАЦИЯ ПЕРВИЧНОГО ЗВЕНА ЗДРАВООХРАНЕНИЯ РОССИЙСКОЙ ФЕДЕРАЦИИ" (В РАМКАХ НАЦИОНАЛЬНОГО ПРОЕКТА)</t>
  </si>
  <si>
    <t>ФЕДЕРАЛЬНЫЙ ПРОЕКТ "СТАРШЕЕ ПОКОЛЕНИЕ" (В РАМКАХ НАЦИОНАЛЬНОГО ПРОЕКТА)</t>
  </si>
  <si>
    <t>ФЕДЕРАЛЬНЫЙ ПРОЕКТ "СОВРЕМЕННАЯ ШКОЛА" (В РАМКАХ НАЦИОНАЛЬНОГО ПРОЕКТА)</t>
  </si>
  <si>
    <t>ФЕДЕРАЛЬНЫЙ ПРОЕКТ "УСПЕХ КАЖДОГО РЕБЕНКА" (В РАМКАХ НАЦИОНАЛЬНОГО ПРОЕКТА)</t>
  </si>
  <si>
    <t>ФЕДЕРАЛЬНЫЙ ПРОЕКТ "ЦИФРОВАЯ ОБРАЗОВАТЕЛЬНАЯ СРЕДА" (В РАМКАХ НАЦИОНАЛЬНОГО ПРОЕКТА)</t>
  </si>
  <si>
    <t>ФЕДЕРАЛЬНЫЙ ПРОЕКТ "МОЛОДЫЕ ПРОФЕССИОНАЛЫ (ПОВЫШЕНИЕ КОНКУРЕНТОСПОСОБНОСТИ ПРОФЕССИОНАЛЬНОГО ОБРАЗОВАНИЯ)" (В РАМКАХ НАЦИОНАЛЬНОГО ПРОЕКТА)</t>
  </si>
  <si>
    <t>ФЕДЕРАЛЬНЫЙ ПРОЕКТ "СОЦИАЛЬНАЯ АКТИВНОСТЬ" (В РАМКАХ НАЦИОНАЛЬНОГО ПРОЕКТА)</t>
  </si>
  <si>
    <t>ФЕДЕРАЛЬНЫЙ ПРОЕКТ "СОДЕЙСТВИЕ ЗАНЯТОСТИ" (В РАМКАХ НАЦИОНАЛЬНОГО ПРОЕКТА)</t>
  </si>
  <si>
    <t>ФЕДЕРАЛЬНЫЙ ПРОЕКТ "ФИНАНСОВАЯ ПОДДЕРЖКА СЕМЕЙ ПРИ РОЖДЕНИИ ДЕТЕЙ" (В РАМКАХ НАЦИОНАЛЬНОГО ПРОЕКТА)</t>
  </si>
  <si>
    <t>ФЕДЕРАЛЬНЫЙ ПРОЕКТ "ФОРМИРОВАНИЕ КОМФОРТНОЙ ГОРОДСКОЙ СРЕДЫ" (В РАМКАХ НАЦИОНАЛЬНОГО ПРОЕКТА)</t>
  </si>
  <si>
    <t>ФЕДЕРАЛЬНЫЙ ПРОЕКТ "ЧИСТАЯ ВОДА" (В РАМКАХ НАЦИОНАЛЬНОГО ПРОЕКТА)</t>
  </si>
  <si>
    <t>ФЕДЕРАЛЬНЫЙ ПРОЕКТ "ЖИЛЬЕ" (В РАМКАХ НАЦИОНАЛЬНОГО ПРОЕКТА)</t>
  </si>
  <si>
    <t>ФЕДЕРАЛЬНЫЙ ПРОЕКТ "КУЛЬТУРНАЯ СРЕДА" (В РАМКАХ НАЦИОНАЛЬНОГО ПРОЕКТА)</t>
  </si>
  <si>
    <t>ФЕДЕРАЛЬНЫЙ ПРОЕКТ "ТВОРЧЕСКИЕ ЛЮДИ" (В РАМКАХ НАЦИОНАЛЬНОГО ПРОЕКТА)</t>
  </si>
  <si>
    <t>ФЕДЕРАЛЬНЫЙ ПРОЕКТ "ЦИФРОВАЯ КУЛЬТУРА" (В РАМКАХ НАЦИОНАЛЬНОГО ПРОЕКТА)</t>
  </si>
  <si>
    <t>ФЕДЕРАЛЬНЫЙ ПРОЕКТ "СОХРАНЕНИЕ ОЗЕРА БАЙКАЛ" (В РАМКАХ НАЦИОНАЛЬНОГО ПРОЕКТА)</t>
  </si>
  <si>
    <t>ФЕДЕРАЛЬНЫЙ ПРОЕКТ "КОМПЛЕКСНАЯ СИСТЕМА ОБРАЩЕНИЯ С ТВЕРДЫМИ КОММУНАЛЬНЫМИ ОТХОДАМИ" (В РАМКАХ НАЦИОНАЛЬНОГО ПРОЕКТА)</t>
  </si>
  <si>
    <t>ФЕДЕРАЛЬНЫЙ ПРОЕКТ "ЧИСТЫЙ ВОЗДУХ" (В РАМКАХ НАЦИОНАЛЬНОГО ПРОЕКТА)</t>
  </si>
  <si>
    <t>ФЕДЕРАЛЬНЫЙ ПРОЕКТ "СПОРТ - НОРМА ЖИЗНИ" (В РАМКАХ НАЦИОНАЛЬНОГО ПРОЕКТА)</t>
  </si>
  <si>
    <t>ФЕДЕРАЛЬНЫЙ ПРОЕКТ "СОЗДАНИЕ БЛАГОПРИЯТНЫХ УСЛОВИЙ ДЛЯ ОСУЩЕСТВЛЕНИЯ ДЕЯТЕЛЬНОСТИ САМОЗАНЯТЫМИ ГРАЖДАНАМИ" (В РАМКАХ НАЦИОНАЛЬНОГО ПРОЕКТА)</t>
  </si>
  <si>
    <t>ФЕДЕРАЛЬНЫЙ ПРОЕКТ "СОЗДАНИЕ УСЛОВИЙ ДЛЯ ЛЕГКОГО СТАРТА И КОМФОРТНОГО ВЕДЕНИЯ БИЗНЕСА" (В РАМКАХ НАЦИОНАЛЬНОГО ПРОЕКТА)</t>
  </si>
  <si>
    <t>ФЕДЕРАЛЬНЫЙ ПРОЕКТ "АКСЕЛЕРАЦИЯ СУБЪЕКТОВ МАЛОГО И СРЕДНЕГО ПРЕДПРИНИМАТЕЛЬСТВА" (В РАМКАХ НАЦИОНАЛЬНОГО ПРОЕКТА)</t>
  </si>
  <si>
    <t xml:space="preserve">ФЕДЕРАЛЬНЫЙ ПРОЕКТ "АДРЕСНАЯ ПОДДЕРЖКА ПОВЫШЕНИЯ ПРОИЗВОДИТЕЛЬНОСТИ ТРУДА НА ПРЕДПРИЯТИЯХ" (В РАМКАХ НАЦИОНАЛЬНОГО ПРОЕКТА) </t>
  </si>
  <si>
    <t>ФЕДЕРАЛЬНЫЙ ПРОЕКТ "РЕГИОНАЛЬНАЯ И МЕСТНАЯ ДОРОЖНАЯ СЕТЬ" (В РАМКАХ НАЦИОНАЛЬНОГО ПРОЕКТА)</t>
  </si>
  <si>
    <t>ФЕДЕРАЛЬНЫЙ ПРОЕКТ "ЭКСПОРТ ПРОДУКЦИИ АГРОПРОМЫШЛЕННОГО КОМПЛЕКСА" (В РАМКАХ НАЦИОНАЛЬНОГО ПРОЕКТА)</t>
  </si>
  <si>
    <t>ФЕДЕРАЛЬНЫЙ ПРОЕКТ "РАЗВИТИЕ ТУРИСТИЧЕСКОЙ ИНФРАСТРУКТУРЫ" (В РАМКАХ НАЦИОНАЛЬНОГО ПРОЕКТА)</t>
  </si>
  <si>
    <t>ФЕДЕРАЛЬНЫЙ ПРОЕКТ "СОХРАНЕНИЕ ЛЕСОВ" (В РАМКАХ НАЦИОНАЛЬНОГО ПРОЕКТА)</t>
  </si>
  <si>
    <t>1.4.</t>
  </si>
  <si>
    <t>1.5.</t>
  </si>
  <si>
    <t>1.6.</t>
  </si>
  <si>
    <t>1.7.</t>
  </si>
  <si>
    <t>1.8.</t>
  </si>
  <si>
    <t>ФЕДЕРАЛЬНЫЙ ПРОЕКТ "ПРОФЕССИОНАЛИТЕТ" (В РАМКАХ НАЦИОНАЛЬНОГО ПРОЕКТА)</t>
  </si>
  <si>
    <t>2.1.1.</t>
  </si>
  <si>
    <t>3.3.</t>
  </si>
  <si>
    <t>5.2.</t>
  </si>
  <si>
    <t>5.3.</t>
  </si>
  <si>
    <t>1.1.1.</t>
  </si>
  <si>
    <t>2.1.2.</t>
  </si>
  <si>
    <t>3.1.4.</t>
  </si>
  <si>
    <t>3.1.5.</t>
  </si>
  <si>
    <t>1.1.2.</t>
  </si>
  <si>
    <t>1.1.3.</t>
  </si>
  <si>
    <t>Комплекс процессных мероприятий "Подготовка кадров"</t>
  </si>
  <si>
    <t>1.2.1.</t>
  </si>
  <si>
    <t>ФЕДЕРАЛЬНЫЙ ПРОЕКТ "ЗАЩИТА ОТ НАВОДНЕНИЙ И ИНЫХ НЕГАТИВНЫХ ВОЗДЕЙСТВИЙ ВОД И ОБЕСПЕЧЕНИЕ БЕЗОПАСНОСТИ ГИДРОТЕХНИЧЕСКИХ СООРУЖЕНИЙ" (ВНЕ НАЦИОНАЛЬНЫХ ПРОЕКТОВ)</t>
  </si>
  <si>
    <t>Комплекс процессных мероприятий "Обеспечение эффективной реализации государственных функций в сфере водных отношений"</t>
  </si>
  <si>
    <t>Реализация государственных программ субъектов Российской Федерации в области использования и охраны водных объектов</t>
  </si>
  <si>
    <t>Комплекс процессных мероприятий "Обеспечение эффективной реализации государственных функций в области лесных отношений"</t>
  </si>
  <si>
    <t>ФЕДЕРАЛЬНЫЙ ПРОЕКТ "РАЗВИТИЕ ИСКУССТВА И ТВОРЧЕСТВА" (ВНЕ НАЦИОНАЛЬНЫХ ПРОЕКТОВ)</t>
  </si>
  <si>
    <t>мероприятие по созданию и обеспечению деятельности региональных центров компетенций в сфере производительности труда (далее - региональные центры компетенций), включающие в себя в том числе обучение, подготовку и содержание на время обучения тренеров, а также дополнительно привлеченных сотрудников региональных центров компетенций</t>
  </si>
  <si>
    <t xml:space="preserve">мероприятие по созданию и обеспечению деятельности "фабрики процессов", представляющей собой площадку, обеспечивающую практическое обучение принципам и инструментам бережливого производства посредством имитации реальных производственных и вспомогательных процессов, но не более одной в субъекте Российской Федерации </t>
  </si>
  <si>
    <t>ГОСУДАРСТВЕННАЯ ПРОГРАММА РОССИЙСКОЙ ФЕДЕРАЦИИ "РАЗВИТИЕ ТРАНСПОРТНОЙ СИСТЕМЫ"</t>
  </si>
  <si>
    <t>ФЕДЕРАЛЬНЫЙ ПРОЕКТ "БЛАГОУСТРОЙСТВО СЕЛЬСКИХ ТЕРРИТОРИЙ" (ВНЕ НАЦИОНАЛЬНЫХ ПРОЕКТОВ)</t>
  </si>
  <si>
    <t>ФЕДЕРАЛЬНЫЙ ПРОЕКТ "РАЗВИТИЕ ЖИЛИЩНОГО СТРОИТЕЛЬСТВА НА СЕЛЬСКИХ ТЕРРИТОРИЯХ И ПОВЫШЕНИЕ УРОВНЯ БЛАГОУСТРОЙСТВА ДОМОВЛАДЕНИЙ" (ВНЕ НАЦИОНАЛЬНЫХ ПРОЕКТОВ)</t>
  </si>
  <si>
    <t>ФЕДЕРАЛЬНЫЙ ПРОЕКТ "СОДЕЙСТВИЕ ЗАНЯТОСТИ СЕЛЬСКОГО НАСЕЛЕНИЯ" (ВНЕ НАЦИОНАЛЬНЫХ ПРОЕКТОВ)</t>
  </si>
  <si>
    <t>Жильцова Ольга Владимировна - зам. начальника отдела работы с категориями граждан Департамента реализации инвестиционных проектов и организации бюджетного процесса Минстроя России, 
тел. (494) 647 15 80, доб. 51626</t>
  </si>
  <si>
    <t>Субвенции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</si>
  <si>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мероприятий по обеспечению учреждений культуры специализированным автотранспортом для обслуживания населения, в том числе сельского населения в рамках консолидированной субсидии на поддержку отрасли культуры</t>
  </si>
  <si>
    <t>Государственная поддержка отрасли культуры (Государственная поддержка лучших сельских учреждений культуры)</t>
  </si>
  <si>
    <t>Бузук Константин Константинович - ведущий советник отдела методологии, координации и учета инвестиционных проектов Минтруда России, 
тел. (495) 587 88 89, доб. 2073</t>
  </si>
  <si>
    <t>Оболенская Валентина Сергеевна - сотрудник отдела сопровождения региональных мер социальной поддержки семей с детьми Департамента демографической и семейной политики Минтруда России, 
тел. (495) 587 88 89, доб. 2747</t>
  </si>
  <si>
    <t>2023 год</t>
  </si>
  <si>
    <t>2024 год</t>
  </si>
  <si>
    <t>Федеральная целевая программа "Увековечение памяти погибших при защите Отечества на 2019 - 2024 годы"</t>
  </si>
  <si>
    <t>Направлена заявка от 28.02.2022 №02-66-1132/22</t>
  </si>
  <si>
    <t>ФЕДЕРАЛЬНЫЙ ПРОЕКТ "РАЗВИТИЕ ОТРАСЛЕЙ И ТЕХНИЧЕСКАЯ МОДЕРНИЗАЦИЯ АГРОПРОМЫШЛЕННОГО КОМПЛЕКСА" (ВНЕ НАЦИОНАЛЬНЫХ ПРОЕКТОВ)</t>
  </si>
  <si>
    <t>ФЕДЕРАЛЬНЫЙ ПРОЕКТ "РАЗВИТИЕ СЕЛЬСКОГО ТУРИЗМА" (ВНЕ НАЦИОНАЛЬНЫХ ПРОЕКТОВ)</t>
  </si>
  <si>
    <t>Письмом министерства от 11.03.2022 № 02-57-1050/22 направлена
в Минсельхоз России информация о дополнительной потребности в сумме 108,1 млн руб.</t>
  </si>
  <si>
    <t>ГРБС Иркутской области</t>
  </si>
  <si>
    <t>2025 год</t>
  </si>
  <si>
    <t>Сумма заявки в ФОИВ (либо потребность в средствах федерального бюджета, указанная в письме, направленном в ФОИВ), тыс. руб.</t>
  </si>
  <si>
    <t>Планируемый срок 
реализации (годы)</t>
  </si>
  <si>
    <t>Этап строительства, срок завершения</t>
  </si>
  <si>
    <t>начало</t>
  </si>
  <si>
    <t>окончание</t>
  </si>
  <si>
    <t>Наличие проектной документации (имеется - дата разработки ПД/ отсутствует - плановый срок разработки ПД)</t>
  </si>
  <si>
    <t>Наличие положительного заключения государственной экологической экспертизы по ПД (имеется - реквизиты / отсутствует / не требуется)</t>
  </si>
  <si>
    <t>Наличие положительного заключения государственной экспертизы ПД (имеется - реквизиты / отсутствует - плановый срок получения)</t>
  </si>
  <si>
    <t>Наличие положительного заключения государственной экспертизы достоверности определения сметной стоимости (имеется - реквизиты / отсутствует - плановый срок получения)</t>
  </si>
  <si>
    <t>Наличие документа об утверждении ПД (имеется - реквизиты / отсутствует - плановый срок утверждения)</t>
  </si>
  <si>
    <t>Стоимость строительства (реконструкции) объекта (предельная) (тыс. руб.)</t>
  </si>
  <si>
    <t>Информация о направлении заявки в ФОИВ 
(да - дата, № письма) / 
нет - плановая дата)</t>
  </si>
  <si>
    <t>Куратор в федеральных органах исполнительной власти (Ф.И.О., должность, телефон)</t>
  </si>
  <si>
    <t>Продвижение заявки (проведенная работа: служебные командировки, заключенные соглашения)</t>
  </si>
  <si>
    <t>Федеральный бюджет</t>
  </si>
  <si>
    <t>Областной бюджет</t>
  </si>
  <si>
    <t>Местный бюджет</t>
  </si>
  <si>
    <t>Внебюджетные источники</t>
  </si>
  <si>
    <t>Министерство по молодежной политике Иркутской области</t>
  </si>
  <si>
    <t>Куратор - В.В. Тетерин</t>
  </si>
  <si>
    <t>Вид межбюджетного трансферта (субсидия, субвенция, иной МБТ)</t>
  </si>
  <si>
    <t>Очиров Анатолий Жамбалович - специалист отдела взаимодействия участников нацпрограммы министерства цифрового развития, связи и массовых коммуникаций Российской Федерации</t>
  </si>
  <si>
    <t>Письмо "О направлении информации для заключения соглашения о предоставлении субсидии на поддержку региональных проектов в сфере информационных технологий" от 21 декабря 2021 года № 02-65-793/21</t>
  </si>
  <si>
    <t>Заявка рассмотрена, между Министерством цифрового развития, связи и массовых коммуникаций Российской Федерации и министерством цифрового развития и связи Иркутской области заключено Cоглашение о предоставлении субсидии из федерального бюджета бюджету Иркутской области на поддержку региональных проектов в сфере информационных технологий от 28 декабря 2021 года № 071-09-2022-027</t>
  </si>
  <si>
    <t>Министерство цифрового развития и связи Иркутской области</t>
  </si>
  <si>
    <t>Государственная поддержка аккредитации ветеринарных лабораторий в национальной системе аккредитации</t>
  </si>
  <si>
    <t>Министерство сельского хозяйства Иркутской области</t>
  </si>
  <si>
    <t>Служба ветеринарии Иркутской области</t>
  </si>
  <si>
    <t>Плановая дата заключения соглашения на 2023-2025 годы - декабрь 2022 года</t>
  </si>
  <si>
    <t>Потапова Марина Васильевна, заместитель начальника управления предоставления социальных гарантий и организаций государственного контроля качества оказания социальной помощи населения Федеральной службы по труду и занятости, 
тел. 8 (495)620-66-03</t>
  </si>
  <si>
    <t xml:space="preserve"> Проводится работа по привлечению дополнительных средств, необходимых для финансирования мероприятия в 2023 году (письмо Губернатора Иркутской области в Минтруда России от 15.04.2022 № 02-01-3212/22)</t>
  </si>
  <si>
    <t>В соответствии с Соглашением от 25.12.2020 г. №150-09-2021-015
(ДС от 23.12.2021 № 150-09-2021-015/1) на 2023 год - согласовано с Рострудом и предусмотрено  
 5 000,0 тыс. руб. (ФБ - 4 800,0 тыс. руб., ОБ - 200,0 тыс. руб.), потребность составляет 31 200 тыс. руб. (ФБ - 30 000,0 тыс. руб., ОБ - 1 200,0 тыс. руб.);
на 2024 год - согласовано с Рострудом и предусмотрено  
5 000,0 тыс. руб. (ФБ - 4 800,0 тыс. руб., ОБ - 200,0 тыс. руб.)</t>
  </si>
  <si>
    <t>Не требуется, субсидии распределяются в соответствии с Правилами предоставления и распределения субсидий из федерального бюджета бюджетам субъектов Российской Федерации (приложение 7 к государственной программе Российской Федерации «Обеспечение общественного порядка и противодействие преступности», утвержденной постановлением Правительства Российской Федерации от 15 апреля 2014 года № 345).</t>
  </si>
  <si>
    <t>Министерство экономического развития и промышленности Иркутской области</t>
  </si>
  <si>
    <t>Заявка на 2022 и плановый период 2023-2024 годы: 13.12.2021, 
№ 02-01-10120/21.
Направление заявки на 2023 год и плановый период 2024-2025 годов планируется в декабре 2022 года, в сроки, установленные Минэкономразвития России.</t>
  </si>
  <si>
    <t>Елькина Елена Анатольевна, 
тел. (495) 870-87-00 IP 0520, 
8(909)13-19-372</t>
  </si>
  <si>
    <t>Заявка будет подготовлена в декабре 2022 года после получения письма от Министерства экономического развития Российской Федерации</t>
  </si>
  <si>
    <t>Между Минэкономразвития России и Правительством Иркутской области в 2021 году заключено соглашение от 24.12.2021 г. № 139-17-2022-069</t>
  </si>
  <si>
    <t>Не направляется</t>
  </si>
  <si>
    <t>Министерство имущественных отношений Иркутской области</t>
  </si>
  <si>
    <t>Соглашение о предоставлении субсидии из федерального бюджета бюджету субъекта Российской Федерации от 27.12.2021 года № 069-09-2022-329</t>
  </si>
  <si>
    <t>Радужан Антон Александрович, руководитель проектов</t>
  </si>
  <si>
    <t>Заявки ещё не запрашивались (суммы указаны из заключенного соглашения)</t>
  </si>
  <si>
    <t>23.12.2020 № 071-09-2021-100
12.05.2021 № 071-09-2021-100/1
03.08.2021 № 071-09-2021-100/2
21.12.2021 № 071-09-2021-100/3</t>
  </si>
  <si>
    <t>Министерство социального развития, опеки и попечительства Иркутской области</t>
  </si>
  <si>
    <t>Подготовлена информация об объемах средств федерального бюджета, необходимых для финансового обеспечения на 2023 год, и плановый период 2024-2025 годов</t>
  </si>
  <si>
    <t>Информация о потребности в средствах федерального бюджета направляется по запросу Минтруда России во 2 квартале текущего года.</t>
  </si>
  <si>
    <t>2020 г.</t>
  </si>
  <si>
    <t xml:space="preserve">не требуется </t>
  </si>
  <si>
    <t>Доп. соглашение                                                                                                                                                                         № 149-09-2020-214/6                                                                                                                                                                                          от 22.12.2021</t>
  </si>
  <si>
    <t>Министерство строительства Иркутской области</t>
  </si>
  <si>
    <t>Информация о дополнительной потребности в средствах федерального бюджета направлена в Минтруд России 12.01.2022 г.                                                                                                                     № 02-01-89/22</t>
  </si>
  <si>
    <t>отсутствует, плановый срок утверждения ПСД - IV квартал 2022 года</t>
  </si>
  <si>
    <t>отсутствует, плановый срок  получения - IV квартал 2022 года</t>
  </si>
  <si>
    <t>Светличная Карина Борисовна - сотрудник Минтруда России,
тел. (495) 587 88 89, доб. 1114</t>
  </si>
  <si>
    <t>Эйхлер Ольга Валерьевна - начальник Управления медицинского обеспечения конверсионных и экстремальных работ и службы крови,                                                                                                                    тел. (495) 617 17 64</t>
  </si>
  <si>
    <t>Кулаев Оман Шабанович - сотрудник Департамента медицинской помощи детям, службы родовспоможения и общественного здоровья Министерства здравоохранения РФ,                                                                                                                                                                                     тел. (495) 627 24 00, доб. 1526</t>
  </si>
  <si>
    <t>Заявка о потребности в субвенции направлена в Минздрав РФ письмом №02-53-7980/22-05 от 17.05.2022 г.</t>
  </si>
  <si>
    <t>Болдырев Сергей Юрьевич - специалист 1 категории Минтруда России, тел. (495) 926 99 01, доб.1243</t>
  </si>
  <si>
    <t>Заявка о потребности направлена в Министерство строительства и жилищно-коммунального хозяйства РФ письмом №02-53-8262/22-05 от 20.05.2022</t>
  </si>
  <si>
    <t>Бюджетная заявка направляется в ФКУ «Объединенная дирекция по реализации федеральных инвестиционных программ» Минстроя России до 20 июля текущего года (Постановление Правительства РФ от 15 октября 2005 г. № 614)</t>
  </si>
  <si>
    <t>Информация о потребности в средствах федерального бюджета направляется по запросу Федерального агентства по делам национальностей в 3 квартале текущего года.</t>
  </si>
  <si>
    <t>Единая субвенция бюджетам субъектов Российской Федерации и бюджету г. Байконура</t>
  </si>
  <si>
    <t>ГОСУДАРСТВЕННАЯ ПРОГРАММА РОССИЙСКОЙ ФЕДЕРАЦИИ "СОЦИАЛЬНАЯ ПОДДЕРЖКА ГРАЖДАН"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</si>
  <si>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</si>
  <si>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ГОСУДАРСТВЕННАЯ ПРОГРАММА РОССИЙСКОЙ ФЕДЕРАЦИИ "ОХРАНА ОКРУЖАЮЩЕЙ СРЕДЫ"</t>
  </si>
  <si>
    <t>ГОСУДАРСТВЕННАЯ ПРОГРАММА РОССИЙСКОЙ ФЕДЕРАЦИИ "ОБЕСПЕЧЕНИЕ ОБОРОНОСПОСОБНОСТИ СТРАНЫ"</t>
  </si>
  <si>
    <t>ГОСУДАРСТВЕННАЯ ПРОГРАММА РОССИЙСКОЙ ФЕДЕРАЦИИ "РЕАЛИЗАЦИЯ ГОСУДАРСТВЕННОЙ НАЦИОНАЛЬНОЙ ПОЛИТИКИ"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</si>
  <si>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</si>
  <si>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Министерство природных ресурсов и экологии Иркутской области</t>
  </si>
  <si>
    <t>Направлена заявка от 30.03.2022 №02-50-2555/22</t>
  </si>
  <si>
    <t>от 12.01.2021 № 1-мр</t>
  </si>
  <si>
    <t>от 18.01.2021 № 18-мр</t>
  </si>
  <si>
    <t>Заявка (пакет обосновывающих документов) подготовлен и рассмотрен ФАВР.
Правительством Иркутской области и Федеральным агентством водных ресурсов 02.03.2022 подписан перечень мероприятий финансируемых за счет средств предоставляемых в виде субвенций из федерального бюджета бюджетам субъектов Российской Федерации на 2022-2024 гг.</t>
  </si>
  <si>
    <t>от 30.03.2018 №38-1-0187-18</t>
  </si>
  <si>
    <t>от 09.03.2021 № 26-р</t>
  </si>
  <si>
    <t xml:space="preserve">Заявка (пакет обосновывающих документов) подготовлен и рассмотрен ФАВР.
Соглашение от 24.12.2021 № 052-09-2022-017 </t>
  </si>
  <si>
    <t>Направлена заявка от 06.07.2021 г. № 02-66-4628/21</t>
  </si>
  <si>
    <t>Направлена заявка от 28.02.2022 г. №02-66-1132/22</t>
  </si>
  <si>
    <t>от 15.06.2020 № 0046-20/05</t>
  </si>
  <si>
    <t>от 18.06.2020 № 371-мр</t>
  </si>
  <si>
    <t>Министерство спорта Иркутской области</t>
  </si>
  <si>
    <t>Карачкова С.М., заместитель директора Департамента спорта высших достижений</t>
  </si>
  <si>
    <t>Не требуется, средства предусмотрены в Федеральном законе от 6 декабря 2021 года № 390-ФЗ "О федеральном бюджете на 2022 год и на плановый период 2023 и 2024 годов"</t>
  </si>
  <si>
    <t>Не требуется, средства предусмотрены в Федеральном законе от 6 декабря 2021 года №390-ФЗ "О федеральном бюджете на 2022 год и на плановый период 2023 и 2024 годов"</t>
  </si>
  <si>
    <t>Соглашение № 777-08-2019-176/7 от 13.04.2022 г.</t>
  </si>
  <si>
    <t>№ 38-1-1-2-002239-2022 от 20.01.2022</t>
  </si>
  <si>
    <t>Соглашение № 777-09-2020-119.5 от 13.05.2022 г.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</si>
  <si>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</si>
  <si>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Соглашение № 777-08-2019-046/4 от 24.12.2021 г.</t>
  </si>
  <si>
    <t>Тихонов Денис Станиславович, 
тел. 89161222402</t>
  </si>
  <si>
    <t xml:space="preserve">Оснащение объектов спортивной инфраструктуры спортивно-технологическим оборудованием </t>
  </si>
  <si>
    <t>Соглашение № 777-08-2019-153/9 от 13.04.2022г.</t>
  </si>
  <si>
    <t>Реконструкция стадиона Спорткомплекса МБУ ДО ДЮСШ, г. Тулун, мкр. Угольщиков, 42 б</t>
  </si>
  <si>
    <t>имеется №38-1-1-2-067430-2020 от 24.12.2020</t>
  </si>
  <si>
    <t>имеется №417 от 31.12.2020г.</t>
  </si>
  <si>
    <t>2022-2024гг.</t>
  </si>
  <si>
    <t>Соглашение № 777-17-2021-026/3 от 13.05.2022г.</t>
  </si>
  <si>
    <t>Министерство здравоохранения Иркутской области</t>
  </si>
  <si>
    <t>Соглашение № 056-09-2020-207/4</t>
  </si>
  <si>
    <t>Соглашение № 056-17-2020-100/8
с 2024 года - 056-09-2022-508</t>
  </si>
  <si>
    <t>Соглашение № 056-09-2020-414/3</t>
  </si>
  <si>
    <t>Соглашение № 056-17-2020-184/7
с 2024 года № 056-09-2022-425</t>
  </si>
  <si>
    <t>Служба по охране объектов культурного наследия Иркутской области</t>
  </si>
  <si>
    <t>Заявка направлена. Информация об одобрении заявки появится при формировании проекта закона о федеральном бюджете на очередной финансовый год</t>
  </si>
  <si>
    <t>Направлена заявка от 28.01.2022 № 02-76-265/22</t>
  </si>
  <si>
    <t>Плутницкий Андрей Николаевич, директор департамента проектной деятельности, 
тел. 8 (495)627-24-00 доб.2901</t>
  </si>
  <si>
    <t>Галат Андрей Владимирович, администратор проектного офиса ЕГИСЗ Минздрава России, 
тел. 8(925)038-85-01</t>
  </si>
  <si>
    <t>Соглашение № 056-09-2022-048</t>
  </si>
  <si>
    <t>Министерство лесного комплекса Иркутской области</t>
  </si>
  <si>
    <t>Финансово-экономическое управление: Бразгунова О.Г., Викина И.Б, 
тел. (499) 230-86-34</t>
  </si>
  <si>
    <t>Финансово-экономическое управление: Бразгунова О.Г., Викина И.Б,
тел. (499) 230-86-34</t>
  </si>
  <si>
    <t>Доп. соглашение № 053-2019-GА0040-1/1</t>
  </si>
  <si>
    <t>Министерством лесного комплекса Иркутской области в Рослесхоз направлено письмо от 20.12.2021 № 02-91-18014/21 с просьбой выделить дополнительные средства на финансирование мероприятий в 2023 году в размере 44 898,0 тыс. рублей, в 2024 году в размере 35 898,0 тыс. рублей.</t>
  </si>
  <si>
    <t>Заяки не подавались (Защита бюджетных проектировок в ноябре)</t>
  </si>
  <si>
    <t>Министерством лесного комплекса Иркутской области в Рослесхоз направлены письма от 23.02.2022 № 02-20-2315/22, 12.04.2022 № 02-91-3999/22 о дополнительном выделении средств в 2023-2024 годах в размере 721 534,3 тыс. рублей ежегодно.</t>
  </si>
  <si>
    <t>Министерство транспорта и дорожного хозяйства Иркутской области</t>
  </si>
  <si>
    <t>ФЕДЕРАЛЬНЫЙ ПРОЕКТ "РАЗВИТИЕ ТРАНСПОРТНОЙ ИНФРАСТРУКТУРЫ НА СЕЛЬСКИХ ТЕРРИТОРИЯХ" (ВНЕ НАЦИОНАЛЬНЫХ ПРОЕКТОВ)</t>
  </si>
  <si>
    <t>Имеется</t>
  </si>
  <si>
    <t>Тинякова Елена Викторовна,
сотрудник Федерального дорожного агентства</t>
  </si>
  <si>
    <t>Соглашение заключено 
от 24 декабря 2021 года 
№ 108-09-2022-066</t>
  </si>
  <si>
    <t>Соглашение заключено 
от 25 декабря 2021 года 
№ 108-17-2022-147</t>
  </si>
  <si>
    <t>Министерство культуры и архивов Иркутской области</t>
  </si>
  <si>
    <t>Средства на оснащение образовательных учреждений в сфере культуры предоставляются раз в два года. В соответствии с постановлением Правительства РФ от 15.04.2014 года №317 на Иркутскую область предусмотрено выделение средств на 2020, 2022, 2024 годы.</t>
  </si>
  <si>
    <t xml:space="preserve">Шмидт Д.Д. - начальник отдела государственной поддержки молодых талантов и аттестации педагогических кадров Министерства культуры РФ </t>
  </si>
  <si>
    <t>Соглашение № 054-09-2022-408</t>
  </si>
  <si>
    <t>26.07.2021 № 02-09-5820/21</t>
  </si>
  <si>
    <t>13.04.2022 № 02-56-822/22</t>
  </si>
  <si>
    <t>Заявка на рассмотрении</t>
  </si>
  <si>
    <t>Москалев А.В. - начальник отдела государственных и инвестиционных программ Министерства культуры РФ</t>
  </si>
  <si>
    <t>Средства доводят в соответствии с Указом Президента РФ от 28.07.2012 № 1062</t>
  </si>
  <si>
    <t>Соглашение № 054-09-2022-566</t>
  </si>
  <si>
    <t xml:space="preserve">02-56-1111/22 от 18.05.2022 
02-56-1112/22 от 18.05.2022 
02-56-1113/22 от 18.05.2022 
02-56-1114/22 от 18.05.2022 
02-56-1118/22 от 18.05.2022
02-56-1119/22 от 18.05.2022 </t>
  </si>
  <si>
    <t>Красилова Н.В. - ведущий советник отдела информационных технологий Департамента кинематографии и цифрового развития Министерства культуры РФ</t>
  </si>
  <si>
    <t>Щеглова М.В. - главный специалист отдела по работе с регионами департамента модельных библиотек российской государственной библиотеки Министерства культуры РФ</t>
  </si>
  <si>
    <t>Вялкова Болеслава Владимировна - ведущий советник планово-экономического отдела Департамента музеев и внешних связей Министерства культуры РФ</t>
  </si>
  <si>
    <t>Гуща С.Н. - специалист отдела инвестиционных проектов департамента управления делами и инвестициями Министерства культуры РФ</t>
  </si>
  <si>
    <t>Ракшенко Иван Александрович - заместитель начальника отдела региональной политики Департамента региональной политики, образования и проектного управления Министерства культуры РФ</t>
  </si>
  <si>
    <t>02-56-1279/21 от 14.07.2021
 В настоящее время ведется работа по подготовке и направлению заявки на 2023-2025 годы</t>
  </si>
  <si>
    <t>Соглашение № 054-09-2022-093</t>
  </si>
  <si>
    <t xml:space="preserve">Министерство культуры РФ в соответствии с проведенным анализом статистических форм домов культуры  принимает решение о выборе регионов и доведении им средств </t>
  </si>
  <si>
    <t>Соглашение № 054-09-2022-308</t>
  </si>
  <si>
    <t>02-56-1279/21 от 14.07.2021
В настоящее время ведется работа по подготовке и направлению заявки на 2023-2025 годы</t>
  </si>
  <si>
    <t>Соглашение № 054-09-2022-003</t>
  </si>
  <si>
    <t>Беляева Диана Евгеньевна,
diana.belyaeva@post.mkrf.ru</t>
  </si>
  <si>
    <t>Средства доведены в соответствии с распоряжением Правительства РФ от 18.09.2019 № 2126-р</t>
  </si>
  <si>
    <t>Соглашение № 054-17-2022-150</t>
  </si>
  <si>
    <t xml:space="preserve">Министерством культуры РФ доводятся средства на текущий год и плановый период. Министерство культуры и архивов Иркутской области проводит конкурсный отбор с МО. </t>
  </si>
  <si>
    <t>Соглашение № 054-09-2022-664</t>
  </si>
  <si>
    <t>ПСД от 21.09.2020</t>
  </si>
  <si>
    <t>Распоряжение администрации Черемховского районного муниципального образования от 21.09.2020 № 288-р</t>
  </si>
  <si>
    <t>ПСД от 01.07.2020</t>
  </si>
  <si>
    <t>Постановление администрации Октябрьского муниципального образования от 21.01.2021г. №13</t>
  </si>
  <si>
    <t>Соглашение № 082-09-2022-362 от 24.12.2021</t>
  </si>
  <si>
    <t>Соглашение № 082-09-2022-480 от 30.12.2021</t>
  </si>
  <si>
    <t>Ермолаев Виталий Викторович, 
тел. 8(495) 607-84-21</t>
  </si>
  <si>
    <t>Предоставление субсидий на поддержку племенного животноводства на возмещение части затрат на содержание племенного маточного поголовья сельскохозяйственных животных (за исключением нетелей и телок случного возраста)</t>
  </si>
  <si>
    <t>Предоставление субсидий на возмещение части затрат на приобретение семян кормовых сельскохозяйственных культур, поставляемых в районы Крайнего Севера и приравненные к ним местности</t>
  </si>
  <si>
    <t>Предоставление субсидий на возмещение части затрат на поддержку собственного производства молока</t>
  </si>
  <si>
    <t>Предоставление субсидий в целях возмещения затрат на уплату страховых премий по договорам сельскохозяйственного страхования</t>
  </si>
  <si>
    <t>Предоставление субсидий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и возмещение части затрат на поддержку элитного семеноводства</t>
  </si>
  <si>
    <t>Предоставление субсидий на возмещение части затрат на содержание маточного товарного поголовья крупного рогатого скота специализированных мясных пород, маточного товарного поголовья овец и (или) коз, в том числе ярок и козочек от года и старше, и мясных табунных лошадей</t>
  </si>
  <si>
    <t>3.1.6.</t>
  </si>
  <si>
    <t>Соглашение № 082-09-2022-041 от 27.12.2021</t>
  </si>
  <si>
    <t>Субсидии на стимулирование развития приоритетных подотраслей агропромышленного комплекса и развитие малых форм хозяйствования, в том числе:</t>
  </si>
  <si>
    <t>Предоставление грантов в форме субсидий на развитие материально-технической базы сельскохозяйственных потребительских кооперативов</t>
  </si>
  <si>
    <t>Предоставление субсидий на финансовое обеспечение части затрат, связанных с производством коровьего молока в рамках приоритетной подотрасли агропромышленного комплекса в области животноводства, с целью обеспечения прироста объема производства молока</t>
  </si>
  <si>
    <t>Предоставление грантов в форме субсидий на развитие семейных животноводческих ферм</t>
  </si>
  <si>
    <t>Предоставление субсидий на финансовое обеспечение части затрат, связанных с производством и реализацией овец и коз на убой (в живом весе), производством крупного рогатого скота специализированных мясных пород, относящегося к маточному товарному поголовью, с целью обеспечения прироста овец и коз на убой (в живом весе) собственного производства, прироста маточного товарного поголовья крупного рогатого скота специализированных мясных пород собственного производства</t>
  </si>
  <si>
    <t>Предоставление субсидии на финансовое обеспечение части затрат, связанных с производством сельскохозяйственной продукции в рамках приоритетной подотрасли агропромышленного комплекса в области растениеводства, с целью обеспечения прироста сельскохозяйственной продукции собственного производства</t>
  </si>
  <si>
    <t>Предоставление субсидий в целях финансового обеспечения части затрат, с целью обеспечения прироста объема молока сырого крупного рогатого скота, козьего и овечьего, переработанного на пищевую продукцию</t>
  </si>
  <si>
    <t>Предоставление грантов в форме субсидий «Агропрогресс»</t>
  </si>
  <si>
    <t>3.2.1.</t>
  </si>
  <si>
    <t>3.2.2.</t>
  </si>
  <si>
    <t>3.2.3.</t>
  </si>
  <si>
    <t>3.2.4.</t>
  </si>
  <si>
    <t>3.2.5.</t>
  </si>
  <si>
    <t>3.2.6.</t>
  </si>
  <si>
    <t>3.2.7.</t>
  </si>
  <si>
    <t>Соглашение № 082-17-2022-102 от 28.12.2021</t>
  </si>
  <si>
    <t xml:space="preserve">Направление заявок не предусмотрено. Расчет объема субсидии определяет Минсельхоз России в соответствии с правилами, установленными Постановлением Правительства РФ от 06.02.2021 № 118 </t>
  </si>
  <si>
    <t>Соглашение № 082-09-2022-622 от 28.12.2021</t>
  </si>
  <si>
    <t>Кобылкина Светлана Ивановна - начальник отдела развития сельских территорий и малых форм хозяйствования,
 тел. 8 (495)607-85-61</t>
  </si>
  <si>
    <t>Гуляева Ирина Анатольевна, 
тел. 8(495) 608-72-81</t>
  </si>
  <si>
    <t>Берновская Анастасия Михайловна - начальник управления программ и проектов в сфере национальной политики,
тел. 8(495) 870-29-21 (доб.78141)
Морозова Елена Владимировна - начальник отдела межбюджетных трансфертов, 
тел. 8(495) 870-29-21 (доб.78140)</t>
  </si>
  <si>
    <t>В соответствии с пунктами 2,3 Порядка сроки приема заявок устанавливаются ежегодно не позднее трех дней до начала приема заявок отдельным приказом ФАДН России. На 2023 год сроки конкурса пока не определены.</t>
  </si>
  <si>
    <t>В 2022 году отбор был объявлен впервые. Расчет объема и отбор осуществляет Минсельхоз России в соответствии с правилами, установленными Постановлением Правительства РФ от 14.07.2012 №717 (Приложение 12). Отбор на 2023 год ориентировочно в 3 кв 2022 года</t>
  </si>
  <si>
    <t>Перелыгин Владимир Михайлович - начальник отдела разработки программных мероприятий и контроля за их реализацией, 
тел. 8(495)607-07-25
Мез Нальбий Байзетович, 
тел. 8-988-479-01-50</t>
  </si>
  <si>
    <t>Соглашение № 082-09-2022-589 от 27.12.2021</t>
  </si>
  <si>
    <t xml:space="preserve">Отбор заявок на 2023 год Минсельхозом России до настоящего времени не объявлен. Заявки на 2023 год будут подаваться до конца 2022 года после публикации Минсельхозом России извещения о проведении отбора. Расчет объема субсидии определяет Минсельхоз России в соответствии с правилами, установленными Приказ Минсельхоза России от 13.10.2021 № 699 </t>
  </si>
  <si>
    <t>Серегин Николай Александрович - заместитель директора Департамента мелиорации, земельной политики и госсобственности, 
тел.: +7 (495) 607-64-01, n.seregin@mcx.gov.ru</t>
  </si>
  <si>
    <t>Соглашение № 082-09-2022-521 от 28.12.2021</t>
  </si>
  <si>
    <t>Объект капитального строительства "Строительство блочно-модульной котельной мощностью 6,0 Гкал/ч (6,96 МВт) по адресу: Иркутская область, Заларинский район, р.п. Залари, территория существующей котельной ДПМК"</t>
  </si>
  <si>
    <t>Министерство жилищной политики и энергетики Иркутской области</t>
  </si>
  <si>
    <t>38-1-1-3-026650-2020 от 23.06.2020</t>
  </si>
  <si>
    <t>38-1-1-2-056044-2020 от 06.11.2020</t>
  </si>
  <si>
    <t>Объект капитального строительства "Школа среднего (полного) общего образования на 250 учащихся в с.Тихоновка Боханского района Иркутской области"</t>
  </si>
  <si>
    <t>№ 38-1-1282-19 от 19.12.2019</t>
  </si>
  <si>
    <t>№ 38-1-1-3-049644-2020 от 06.10.2020</t>
  </si>
  <si>
    <t>38-1-1-3-031408-2019 от 14.11.2019</t>
  </si>
  <si>
    <t>38-1-0292-20 от 08.04.2020</t>
  </si>
  <si>
    <t>2.1.3.</t>
  </si>
  <si>
    <t>2.1.4.</t>
  </si>
  <si>
    <t>2.1.5.</t>
  </si>
  <si>
    <t>Министерство жилищной политики и энергетики Иркутской области;
Министерство строительства Иркутской области</t>
  </si>
  <si>
    <t>Платонов Виталий Васильевич - начальник отдела развития инфраструктуры села,
тел.: +7 (495) 607-83-12</t>
  </si>
  <si>
    <t xml:space="preserve"> № 082-09-2022-419 от 28.12.2021;
№ 082-09-2022-419/1 от 15.02.2022, 
№ 082-09-2022-419/2 от 25.03.2022</t>
  </si>
  <si>
    <t>Агентство по туризму Иркутской области</t>
  </si>
  <si>
    <t>Государственная поддержка развития инфраструктуры туризма</t>
  </si>
  <si>
    <t>Соглашение № 056-09-2022-592
№ 056-09-2022-592/1</t>
  </si>
  <si>
    <t>Финансово-экономический департамент Минздрава России,
 тел. 8(495)627-24-00 (доб. 1101, 1159)</t>
  </si>
  <si>
    <t xml:space="preserve"> Направлена заявка от 30.05.2022 г.  № 02-63-978/22</t>
  </si>
  <si>
    <t>Соглашение № 056-09-2022-218 от 29.12.2021</t>
  </si>
  <si>
    <t>Гиршева Наталия Вячеславовна,
тел. 8(495) 627-24-00 (доб.1752)</t>
  </si>
  <si>
    <t>Корпан Ольга Юрьевна, заместитель начальника отдела организации медицинской помощи при социально значимых инфекционных заболеваниях в МЗ РФ, 
тел. 8(495)627-24-00 (доб. 1775)</t>
  </si>
  <si>
    <t>с 2022 года - соглашение № 056-17-2022-026</t>
  </si>
  <si>
    <t>Соглашение № 056-09-2020-042/5 от 27.12.2021</t>
  </si>
  <si>
    <t>Соглашение № 056-09-2022-321 от 28.12.2021 г.</t>
  </si>
  <si>
    <t>Анна Ильинична Ниссман, 
заместитель начальника отдела, 
тел. 8(495) 627-24-00 (доб. 1730)</t>
  </si>
  <si>
    <t>Направлена заявка №02-54-10721/22 от 28.04.2022 г.</t>
  </si>
  <si>
    <t>Левина Татьяна Вячеславовна, советник отдела охраны труда и социальной поддержки департамента медицинского образования и кадровой политики в здравоохранении МЗ РФ, тел. 8(495)627-24-00, доб 1663</t>
  </si>
  <si>
    <t>Соглашение от 27.12.2021 г. № 069-09-2022-250</t>
  </si>
  <si>
    <t>ГОСУДАРСТВЕННАЯ ПРОГРАММА РОССИЙСКОЙ ФЕДЕРАЦИИ "КОМПЛЕКСНОЕ РАЗВИТИЕ СЕЛЬСКИХ ТЕРРИТОРИЙ"</t>
  </si>
  <si>
    <t>Подана заявка на 2023 год и плановый период 2024-2025 от 31.01.2022 № 02-09-657/22</t>
  </si>
  <si>
    <t>Строительство объекта: "Дом культуры в с. Хомутово Иркутского района" по адресу: Иркутский район, с. Хомутово, ул. Пушкина, 1б</t>
  </si>
  <si>
    <t>Крубич Павел Михайлович, сотрудник ФКУ "Объединенная дирекция" Минстроя России, 
тел. 8 (495) 540 -83-99</t>
  </si>
  <si>
    <t>Смирнова Е.В. - начальник отдела стратегического планирования и проектного управления Министерства культуры РФ</t>
  </si>
  <si>
    <t>Белякова Алена Владимировна, Проектный офис ФП «Чистый воздух» 
Минприроды России
тел. 8 (926)672-05-44</t>
  </si>
  <si>
    <t>Заявка на 2022 и плановый период 2023-2024 годы передана в Минэкономразвития России нарочным 14.12.2021 года.
Между Минэкономразвития России и Правительством Иркутской области в 2021 году заключено доп. соглашение от 24.12.2021 №139-09-2021-219/2.</t>
  </si>
  <si>
    <t>Заявка передана в Минэкономразвития России нарочным 14.12.2021 года.
Между Минэкономразвития России и Правительством Иркутской области в 2021 году заключено доп. соглашение от 24.12.2021 №139-09-2021-124/3.</t>
  </si>
  <si>
    <t>Заявка передана в Минэкономразвития России нарочным 14.12.2021 года.
Между Минэкономразвития России и Правительством Иркутской области в 2021 году заключено доп. соглашение от 24.12.2021 №139-09-2021-053/2.</t>
  </si>
  <si>
    <t>Министерством лесного комплекса Иркутской области в октябре 2022 года планируется направить в Рослесхоз письмо о потребности в дополнительных бюджетных ассигнованиях на 2024 год для строительства лесосеменного центра в размере 500 000,0 тыс. рублей. Защита бюджетных проектировок в ноябре.</t>
  </si>
  <si>
    <t>Ответственный ИОГВ Иркутской области за привлечение  межбюджетного трансферта</t>
  </si>
  <si>
    <t>Информация по объектам государственной (муниципальной) собственности</t>
  </si>
  <si>
    <t>Бюджетная заявка не требуется.</t>
  </si>
  <si>
    <t>Заключено соглашение № 069-09-2022-489/2</t>
  </si>
  <si>
    <t>Талалайкина Юлия Викторовна - заместитель Директора департамента стратегических проектов Минстроя России</t>
  </si>
  <si>
    <t>Строительство объекта водоснабжения "Станция умягчения подземных вод на хозяйственно питьевые нужды, производительностью 2500 3000 м3/сут", Вихоревское МО</t>
  </si>
  <si>
    <t>2022 год</t>
  </si>
  <si>
    <t>Постановление об утверждении ПД № 206 от 04.10.2019 г.</t>
  </si>
  <si>
    <t>№ 02-582131 от 27.02.2020</t>
  </si>
  <si>
    <t>Заключено соглашение № 069-09-2022-209</t>
  </si>
  <si>
    <t>Строительство централизованной системы водоснабжения Боханский район, п. Бохан</t>
  </si>
  <si>
    <t>21 июня 2021 года 
№ 38-1-1-2-032145-2021</t>
  </si>
  <si>
    <t>Постановление № 70 от 22.06.2021</t>
  </si>
  <si>
    <t xml:space="preserve">№ 02-58-5417/21 </t>
  </si>
  <si>
    <t>Строительство системы централизованного водоснабжения МО «Оса», МО «Каха-Онгойское», МО «Майск», МО «Ирхидей» Осинского муниципального района</t>
  </si>
  <si>
    <t>17 июня 2021 года 
№ 38-1-1-2-031380-2021</t>
  </si>
  <si>
    <t>Постановление № 345 18.06.2021</t>
  </si>
  <si>
    <t>Ересько Алексей Васильевич - заместитель министра строительства и жилищно-коммунального хозяйства Российской Федерации</t>
  </si>
  <si>
    <t>Ястребов Сергей Николаевич - Заместитель Министра природных ресурсов и экологии Российской Федерации</t>
  </si>
  <si>
    <t>Заключено соглашение № 069-09-2022-268. Заявка по удорожанию направлена в Минстрой России и находится на рассмотрении у специалистов Минстроя.</t>
  </si>
  <si>
    <t>Реконструкция канализационных очистных сооружений правого берега города Иркутска.
(Трубопроводы сброса очищенной сточной воды диаметром 1200мм от канализационных очистных
сооружений правого берега города Иркутска)</t>
  </si>
  <si>
    <t>13.04.2021 N 38-1-1-3-017778-2021 ГАУИО "ИРЭКСПЕРТИЗА"</t>
  </si>
  <si>
    <t>Приказ МУП "Водоканал" г. Иркутска от 10.09.2021 N П-21-00477</t>
  </si>
  <si>
    <t>1 029 613,3 (базисный уровень цен)</t>
  </si>
  <si>
    <t>Реконструкция канализационных очистных
сооружений правого берега города
Иркутска. 8 этап (Блок вторичных
отстойников №3 (строительство
восьми сооружений и технологическое
оборудование для четырех отстойников). Блок аэротенков №3 (строительство сооружений и технологическое оборудование для 1- ой секции).Электрощитовая блока аэротенков №3. Воздуходувная станция (технологическое оборудование для 3- ей линии). Иловая насосная станция (технологическое оборудование для 3- ей линии). Объекты энергетического хозяйства и сети связи. Технологические трубопроводы)</t>
  </si>
  <si>
    <t>23.11.2021 N 38-1-1-2-069044-2021 ГАУИО "ИРЭКСПЕРТИЗА"</t>
  </si>
  <si>
    <t xml:space="preserve">Приказ МУП "Водоканал" г. Иркутска от 24.01.2022 N П-22-00010
</t>
  </si>
  <si>
    <t>1 861 887,3
(базисный уровень цен)</t>
  </si>
  <si>
    <t xml:space="preserve">19.11.2021 N 38-1-1-2-068154-2021 ГАУИО "ИРЭКСПЕРТИЗА
</t>
  </si>
  <si>
    <t>Приказ МУП "Водоканал" г. Иркутска от 24.01.2022 N П-22-00012</t>
  </si>
  <si>
    <t>1 526 638,2
(базисный уровень цен)</t>
  </si>
  <si>
    <t>в разработке</t>
  </si>
  <si>
    <t>Министерство образования Иркутской области</t>
  </si>
  <si>
    <t>Заявка на 2022-2024 годы от 23.06.2021 №02-09-4829/21, №02-09-4828/21, №02-09-4826/21, № 02-09-4827/21. Информация будет дополнена после объявления отбора заявок субъектов РФ на 2025 год (июнь-август 2022 года)</t>
  </si>
  <si>
    <t xml:space="preserve">Заключено соглашение от  24.12.2021 № 073-09-2022-547. Информация будет дополнена после объявления отбора заявок субъектов РФ на 2025 год </t>
  </si>
  <si>
    <t>Уковская СОШ на 227 мест, расположенная по адресу: Иркутская область, Нижнеудинский район, р.п. Ук, ул. 40 лет Победы, д.7</t>
  </si>
  <si>
    <t>Заключено соглашение от 24.12.2021 № 073-09-2022-718</t>
  </si>
  <si>
    <t>1.3.1.</t>
  </si>
  <si>
    <t>Школа-сад на 128 мест в д. Евдокимова Тулунского района Иркутской области</t>
  </si>
  <si>
    <t>имеется</t>
  </si>
  <si>
    <t>№ 38-1-1-2-000313-2022 
от 11.01.2022</t>
  </si>
  <si>
    <t>1.3.2.</t>
  </si>
  <si>
    <t>СОШ на 250 мест по адресу: Иркутская область, г. Тулун, ул. 3 -я Заречная, 4а</t>
  </si>
  <si>
    <t>№ 38-1-1-2-075822-2021 
от 10.12.2021</t>
  </si>
  <si>
    <t>Заключено соглашение от 23.12.2021 № 073-17-2022-228</t>
  </si>
  <si>
    <t>1.4.1.</t>
  </si>
  <si>
    <t>№ 1 от 24.03.2021</t>
  </si>
  <si>
    <t>38-1-1-3-005132 2021 от 09.02.2021</t>
  </si>
  <si>
    <t>1.4.2.</t>
  </si>
  <si>
    <t>Здание начальной школы МБОУ СОШ № 57</t>
  </si>
  <si>
    <t>№ 56 от 27.09.2019</t>
  </si>
  <si>
    <t>38-1-1-3-007046-2019 от 01.04.2019</t>
  </si>
  <si>
    <t>1.4.3.</t>
  </si>
  <si>
    <t>№ 000007 от 02.07.2021</t>
  </si>
  <si>
    <t>1.  38-1-1-2-034072-2021 от 28.06.2021;
2.  38-1-1-3-011752-2021 от 17.03.2021</t>
  </si>
  <si>
    <t>от 20.07.2021 №02-09-5648/21, №02-09-5651/21, №02-09-5652/21;
 от 31.01.2022 №02-09-688/22, №02-09-689/22, №02-09-692/22, №02-09-693/22,; от 02.02.2022 №2-09-767/22. Отзыв заявки от 28.02.2022 № 02-09-1492/22. Информация будет дополнена в случае объявления отбора заявок субъектов РФ на 2025 год (июнь-август 2022 года)</t>
  </si>
  <si>
    <t>Заключено соглашение от 27.12.2021 № 073-09-2022-752. Ожидается распределение средств субсидии по объектам, прошедшим отбор в 2022 году.</t>
  </si>
  <si>
    <t>Заявка подавалась на финансирование с 2019-по 2024 год от 30.10.2018 №02-09-5048/184 заявка на 2020-2024 годы от 04.07.2019 № 02-09-3222/19 Информация будет дополнена в случае объявления отбора заявок субъектов РФ на 2025 год (июнь-август 2022 года)</t>
  </si>
  <si>
    <r>
      <t>Минпросвещения: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Жалялетдинова Лилия Наильевна, с.т. 89263336875</t>
    </r>
  </si>
  <si>
    <t>Заключено соглашение от 27.12.2021 № 073-09-2022-804. Плановая дата заключения соглашения на 2025 год- декабрь 2022 года</t>
  </si>
  <si>
    <t>Заявка от 02.11.2020 № 02-09-8060/20, от 22.10.23020 № 02-09-7801/20 на период 2021-2023 год; на период 2024 года от 01.07.2021 №02-09-5088/21, от 16.07.2021 №02-09-5587/21 Информация будет дополнена в случае объявления отбора заявок субъектов РФ на 2025 год (июнь-август 2022 года)</t>
  </si>
  <si>
    <t>Заявка на период 2021-2023 годы от 22.10.2020 № 02-09-7805/20; на период 2022-2024 от 01.07.2021 № 02-09-5089/21 Информация будет дополнена в случае объявления отбора заявок субъектов РФ на 2025 год (июнь-август 2022 года)</t>
  </si>
  <si>
    <t>Заявка от 22.10.2020 № 02-40-7774/20 Информация будет дополнена в случае объявления отбора заявок субъектов РФ на 2025 год (июнь-август 2022 года)</t>
  </si>
  <si>
    <t>Минпросвещения: Жалялетдинова Лилия Наильевна, с.т. 89263336875</t>
  </si>
  <si>
    <t>Заключено соглашение от 23.12.2021 № 073-09-2022-669. Плановая дата заключения соглашения на 2025 год- декабрь 2022 года</t>
  </si>
  <si>
    <t>Заявка от 30.06.2021 №02-55-6757/21 Информация будет дополнена в случае объявления отбора заявок субъектов РФ на 2025 год (июнь-август 2022 года)</t>
  </si>
  <si>
    <t>Заключено соглашение от 23.12.2021 № 073-09-2022-101. Плановая дата заключения соглашения на 2025 год- декабрь 2022 года</t>
  </si>
  <si>
    <t>Заявка на 2021-2023 годы от 20.10.2020 № 02-09-7800/20; от 22.10.2020 №02-09-7808/20 
Протокол на 2021-2023 годы от 29.10.2020 №ТВ-6/04пр. 
Заявка на предоставление субсидии в 2024 году: № 02-09-5167/21 от 02.07.2021 Информация будет дополнена в случае объявления отбора заявок субъектов РФ на 2025 год (июнь-август 2022 года)</t>
  </si>
  <si>
    <t>Заключено соглашение от 23.12.2021 № 073-09-2022-278 Плановая дата заключения соглашения на 2025 год- декабрь 2022 года</t>
  </si>
  <si>
    <t>Заявка на 2022 год от 15.08.2019 № 02-09-4421/19 
Заявка на 2023 год от 22.10.2020 №02-09-7803/20 Протокол на 2021-2023 годы от 23.10.2020 №ТВ-7/04пр. 
 Протокол на предоставление в 2023 году от 29.10.2020 №ТВ-8/04пр
Заявка на предоставление субсидии в 2024 году: 02-09-5169/21 от 02.07.2021 Протокол от 08.07.2021 №ТВ-19/04 Информация будет дополнена в случае объявления отбора заявок субъектов РФ на 2025 год (июнь-август 2022 года)</t>
  </si>
  <si>
    <t>Детский сад на 300 мест в г. Слюдянка</t>
  </si>
  <si>
    <t>Заявка направлялась в 2018 году Информация будет дополнена в случае объявления отбора заявок субъектов РФ на 2025 год (июнь-август 2022 года). Информация будет дополнена в случае объявления отбора заявок субъектов РФ на 2024 год</t>
  </si>
  <si>
    <t>Заключено соглашение от  23.12.2021 № 073-09-2022-590</t>
  </si>
  <si>
    <t>МОУ ИРМО "ХОМУТОВСКАЯ СОШ №2"</t>
  </si>
  <si>
    <t>МОУ СОШ №3, г. Свирск</t>
  </si>
  <si>
    <t>МОУ "Гадалейская СОШ", Тулунский район, с. Гадалей</t>
  </si>
  <si>
    <t>МОБУ СОШ №7 п. Весѐлый, Чунский район, п. Веселый</t>
  </si>
  <si>
    <t>МКОУ СОШ села Зерновое, Черемховский район</t>
  </si>
  <si>
    <t>МОУ Школа № 3 г. Черемхово</t>
  </si>
  <si>
    <t>МОУ ИРМО "Гороховская СОШ", Иркутский район, с. Горохово</t>
  </si>
  <si>
    <t>МОУ ИРМО "УРИКОВСКАЯ CОШ"</t>
  </si>
  <si>
    <t>МКОУ СОШ №6 им. Шерстянникова А.Н., г.Усть-Кут</t>
  </si>
  <si>
    <t>МКОУ ШР "СОШ № 5", г. Шелехов</t>
  </si>
  <si>
    <t>МБОУ СОШ №29 р.п. Чунский</t>
  </si>
  <si>
    <t>МКОУ Знаменская средняя общеобразовательная школа, Жигаловский район, с. Знаменское</t>
  </si>
  <si>
    <t>МБОУ Покровская СОШ, Баяндаевский р-н, с. Покровка</t>
  </si>
  <si>
    <t>МКОУ ШР "СОШ № 1", г. Шелехов</t>
  </si>
  <si>
    <t>МКОУ Шиткинская СОШ, Тайшетский район, с. Шиткино</t>
  </si>
  <si>
    <t>МБОУ "Майская СОШ", Осинский район, с. Майск</t>
  </si>
  <si>
    <t>МБОУ Заларинская ООШ</t>
  </si>
  <si>
    <t>МОУ ИРМО "Мамоновская СОШ", Иркутский район, с. Мамоны</t>
  </si>
  <si>
    <t>МАОУ "СОШ № 5", г. Усть-Илимск</t>
  </si>
  <si>
    <t>да</t>
  </si>
  <si>
    <t xml:space="preserve">Реализация мероприятий по модернизации школьных систем образования в рамках государственной программы Российской Федерации «Развитие образования» </t>
  </si>
  <si>
    <t>Заключено соглашение от 21.01.2022 № 073-09-2022-967. Ожидается решение по заявке.</t>
  </si>
  <si>
    <t>Заявка на отбор на 2022 год от 25.11.2021 № 02-09-9584/21; заявка на отбор на 2023 год от 31.03.2022 №02-09-2571/22. Информация будет дополнена в случае объявления отбора заявок субъектов РФ на 2025 год (июнь-август 2022 года). Заявка на 2024 год подана, ожидается решение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</si>
  <si>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</si>
  <si>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</si>
  <si>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</si>
  <si>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</si>
  <si>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</si>
  <si>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</si>
  <si>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</si>
  <si>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</si>
  <si>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</si>
  <si>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</si>
  <si>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</si>
  <si>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</si>
  <si>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</si>
  <si>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</si>
  <si>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</si>
  <si>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</si>
  <si>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</si>
  <si>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</si>
  <si>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2.2.19.</t>
  </si>
  <si>
    <t>2.2.20.</t>
  </si>
  <si>
    <t xml:space="preserve">Детский сад на 140 мест в р.п. Октябрьский Чунского района Иркутской области </t>
  </si>
  <si>
    <t xml:space="preserve">Детский сад на 140 мест в г. Тулун Иркутской области с использованием проекта повторного применения </t>
  </si>
  <si>
    <t>№ 38-1-1-2-074840-2021 
от 08.12.2021</t>
  </si>
  <si>
    <t>№ 38-1-1-2-074924-2021 
от 08.12.2021</t>
  </si>
  <si>
    <t>Заявка от 06.07.2021 № 02-55-7061/21. Информация будет дополнена в случае объявления отбора заявок субъектов РФ на 2025 год (июнь-август 2022 года)</t>
  </si>
  <si>
    <t>Заключено соглашение от  23.12.2021 № 073-17-2022-226. Плановая дата заключения соглашения на 2025 год- декабрь 2022 года</t>
  </si>
  <si>
    <t>IV.</t>
  </si>
  <si>
    <t>Информация будет дополнена в случае объявления отбора заявок субъектов РФ на 2025 год (июнь-август 2022 года)</t>
  </si>
  <si>
    <t>Заявка на период 2022-2024 годы от 06.08.2021 № 02-55-8191/21 Информация будет дополнена в случае объявления отбора заявок субъектов РФ на 2025 год (июнь-август 2022 года)</t>
  </si>
  <si>
    <t>Заключено соглашение от 22.12.2021 № 073-17-222-043. Плановая дата заключения соглашения на 2025 год- декабрь 2022 года</t>
  </si>
  <si>
    <t>Заключено соглашение от 22.12.2021 № 073-09-222-399. Плановая дата заключения соглашения на 2025 год - декабрь 2022 года</t>
  </si>
  <si>
    <t>Заключено соглашение от 22.12.2021 № 073-17-2022-179. Плановая дата заключения соглашения на 2025 год- декабрь 2022 года</t>
  </si>
  <si>
    <t>Реализация с 2023 года.
Соглашение № 071-09-2021-176 от 23.12.2020 г.</t>
  </si>
  <si>
    <t xml:space="preserve">Министерство труда и занятости Иркутской области </t>
  </si>
  <si>
    <t>Министерство труда и занятости Иркутской области, министерство здравоохранения Иркутской области, министерство социальной защиты, опеки и попечительства Иркутской области</t>
  </si>
  <si>
    <t xml:space="preserve">Агентство по обеспечению деятельности мировых судей Иркутской области </t>
  </si>
  <si>
    <t>Аппарат Губернатора Иркутской области и Правительства Иркутской области</t>
  </si>
  <si>
    <t>В соответствии с Правилами предоставления и распределения субсидии из федерального бюджета, утвержденными постановлением Правительства РФ от 30.12.2017 года № 1710, направление заявок в Минстрой России не предусмотрено. Расчет размера субсидии производится в соответствии с п. 15 Правил.</t>
  </si>
  <si>
    <t>Распределение, утвержденное распоряжением Правительства
Российской Федерации
от 26 мая 2022 г. № 1314-р</t>
  </si>
  <si>
    <t>Реконструкция канализационных очистных сооружений правого берега города Иркутска. 7 этап (Блок вторичных отстойников №2 (технологическое оборудование для четырех отстойников). Блок аэротенков №2 (технологическое оборудование для 2-ой секции).Насосная станция опорожнения вторичных отстойников № 2. Здание реагентного
хозяйства. Перекрытие емкостных сооружений и
очистка воздуха для илоуплотнителей, биореакторов, песколовок. Технологические трубопроводы. Объекты энергетического хозяйства и сети связи. Благоустройство)</t>
  </si>
  <si>
    <t xml:space="preserve">Субсидии на обеспечение развития и укрепления материально-технической базы домов культуры в населенных пунктах с числом жителей до 50 тыс. человек </t>
  </si>
  <si>
    <t>Субсидии на поддержку экономического и социального развития коренных малочисленных народов Севера, Сибири и Дальнего Востока</t>
  </si>
  <si>
    <t>Михайлова Елена Германовна,  mihajlovaeg@economy.gov.ru, 
тел. (495)870-29-21, доб. 10943</t>
  </si>
  <si>
    <t>Субсидия в целях софинансирования расходных обязательств субъектов Российской Федерации по осуществлению закупки контейнеров для раздельного накопления твердых коммунальных отходов, возникающих при реализации региональных проектов, обеспечивающих достижение целей, показателей и результатов федерального проекта «Комплексная система обращения с твердыми коммунальными отходами», входящего в состав национального проекта «Экология»</t>
  </si>
  <si>
    <t>Пунченко Максим Демьянович, 
отдел анализа, статистики и планирования Департамента государственной политики и регулирования в сфере обращения с отходами производства и потребления Минприроды России
тел: +7 (495) 252-2363 вн. 18-50</t>
  </si>
  <si>
    <t>Ламзин Михаил Сергеевич - руководитель проектного офиса «санитарная авиация» федерального проекта «Развитие системы оказания первичной медико-санитарной помощи» Министерства здравоохранения РФ, 
тел. 8 (495)627-24-00 доб. 14-36</t>
  </si>
  <si>
    <t>Дьякова Карина Дмитриевна, администратор координационного центра "Борьба с сердечно-сосудистыми заболеваниями", ssz@mednet.ru
тел. 7(925) 620-71-92</t>
  </si>
  <si>
    <t>Тарасюк Валерий Алексеевич, администратор координационного центра "Борьба с онкологическими заболеваниями", oncology@mednet.ru
тел. 7(999)353-79-64</t>
  </si>
  <si>
    <t>Анфимова Диана Сергеевна, 
тел. 8(495) 627-24-00, доб. 1713</t>
  </si>
  <si>
    <t>Лисенков Олег Николаевич, 
т. 8(499)975-50-04 с.т. 89162481828</t>
  </si>
  <si>
    <t>Лисенков Олег Николаевич, 
т. 8(499)975-50-04 с.т. 89162481828 Алена Игоревна Балуева: Дирекция 2025, моб.:+7 916 158-85-78</t>
  </si>
  <si>
    <t xml:space="preserve">Школа 2025: Валеев Алмаз Ишатович с.т. 89613381110; по финансированию Порцева Екатерина Юрьевна, 
тел. 8(499) 975-10-52 </t>
  </si>
  <si>
    <t>Хлынова Татьяна Сергеевна, Дирекция школы 2025, 
тел. 8 (495) 673-35-06, доб. 163</t>
  </si>
  <si>
    <t xml:space="preserve">Школа 2025:Носков Константин Владимирович, тел. 8 499 673-35-06 (132) noskov@direct2025.ru
Дубинина Мария Александровна,
тел. 8(499) 6733506 доб. 133
с.т. 89854222505 </t>
  </si>
  <si>
    <t>Шамкаева Алла Александровна: тел. 8-915-458-82-91
Гуськова Алина Евгеньевна: тел. 8-905-759-39-19
Никишина Екатерина Викторовна: тел. 8-919-000-79-77</t>
  </si>
  <si>
    <t>Коновалов Александр, дирекция школы 2025
тел. 89160893802</t>
  </si>
  <si>
    <t>Антонова Надежда Владимировна - консультант отдела обеспечения мер социальной поддержки семей с детьми Департамента демографической политики и социальной защиты населения Министерства труда и социальной защиты РФ, 
тел. 8 (495) 587 88 89, доб. 1225</t>
  </si>
  <si>
    <t>Пивцаева Татьяна Анатольевна, 
ФКУ "Объединенная дирекция" Минстроя России, 
тел. 8(495)540-83-99, доб. 167</t>
  </si>
  <si>
    <t>Куратор - Борисова Александра Федоровна, 
тел. 8-800-222-85-80 доб. 52555</t>
  </si>
  <si>
    <t>Малинина Ольга Николаевна - начальник отдела межбюджетных трансфертов, 
тел. 8(495) 402-03-35</t>
  </si>
  <si>
    <t>Ветров Николай Константинович -  заместитель директора Департамента инфраструктурных проектов МинЦифра +7 495 771 80 00 (доб. 48682), Павлова С.М. +7 495 771 80 00 (доб. 48667)</t>
  </si>
  <si>
    <t>Арбузова Ирина Валерьевна, 
т. 8-903-107-34-25, 8 (495)607-81-07, i.arbuzova@mcx.gov.ru</t>
  </si>
  <si>
    <t>Иной межбюджетный трансферт из федерального бюджета бюджетам субъектов Российской Федерации в целях софинансирования расходных обязательств субъектов Российской Федерации, возникающих при реализации региональных проектов в обращения с отходами, в том числе твердыми коммунальными отходами, обеспечивающих достижение целей, показателей и результатов федерального проекта «Комплексная система обращения с твердыми коммунальными отходами», входящего в состав национального проекта «Экология»</t>
  </si>
  <si>
    <t>Строительство полигона для размещения твердых коммунальных отходов с мусоросортировочной линией, инсинераторной установкой и площадкой мембранного компостирования в г. Саянске</t>
  </si>
  <si>
    <t>Полигон твердых коммунальных отходов с элементами сортировки в Жигаловском районе</t>
  </si>
  <si>
    <t>Разработка проектной документации и строительство мусороперегрузочной станции ТКО в местности Бориса в Ольхонском районе</t>
  </si>
  <si>
    <t>Разработка проектной документации и строительство мусороперегрузочной станции с обработкой ТКО в поселке Хужир в Ольхонском районе</t>
  </si>
  <si>
    <t>Разработка проектной документации и реконструкция объекта размещения ТКО в Слюдянском районе</t>
  </si>
  <si>
    <t>Разработка проектной документации и реконструкция действующего объекта размещения ТКО в Казачинско-Ленском районе</t>
  </si>
  <si>
    <t>Разработка проектной документации и строительство комплексного объекта обращения в Эхирит-Булагатском районе</t>
  </si>
  <si>
    <t>СОШ на 1550 мест по ул. Ярославского г.Иркутска</t>
  </si>
  <si>
    <t>7.1.1.</t>
  </si>
  <si>
    <t>7.1.2.</t>
  </si>
  <si>
    <t>7.1.3.</t>
  </si>
  <si>
    <t>Тулунское отделение ГБУЗ «Областной кожно-венерологический диспансер» на 55 посещений в смену с дневным стационаром на 5 коек и круглосуточным стационаром на 10 коек</t>
  </si>
  <si>
    <t>Тулунское отделение ОГБУЗ «Тулунская городская больница» для больных туберкулезом органов дыхания и кабинеты фтизиатра участкового, расположенного по адресу: г. Тулун, ул. Сосновый бор, д. 2</t>
  </si>
  <si>
    <t>Cубсидии на осуществление ежемесячных выплат на детей в возрасте от трех до семи лет включительно</t>
  </si>
  <si>
    <t>На 2022 год - соглашение № 054-09-2022-408. На 2023-2025 годы заявка на рассмотрении</t>
  </si>
  <si>
    <t>09.07.2021 № 02-56-1261/21
16.05.2022 №02-09-4271/22</t>
  </si>
  <si>
    <t>Соглашение № 054-09-2022-842. Решение по заявке на 2023-2025 годы будет принято до 15 августа 2022 года Министерством культуры РФ</t>
  </si>
  <si>
    <t>1.7.1.</t>
  </si>
  <si>
    <t>1.7.2.</t>
  </si>
  <si>
    <t>1.7.3.</t>
  </si>
  <si>
    <t>ВСЕГО ПО ГОСУДАРСТВЕННЫМ ПРОГРАММАМ РОССИЙСКОЙ ФЕДЕРАЦИИ, в том числе:</t>
  </si>
  <si>
    <t>НАЦИОНАЛЬНЫЕ ПРОЕКТЫ:</t>
  </si>
  <si>
    <t>Строительство центров культурного развития в субъектах РФ в городах с числом жителей до 300 тыс. чел.</t>
  </si>
  <si>
    <t xml:space="preserve">Реновация региональных и муниципальных учреждений отрасли культуры </t>
  </si>
  <si>
    <t>V.</t>
  </si>
  <si>
    <t>VI.</t>
  </si>
  <si>
    <t>VII.</t>
  </si>
  <si>
    <t>VIII.</t>
  </si>
  <si>
    <t>IX.</t>
  </si>
  <si>
    <t>X.</t>
  </si>
  <si>
    <t>XI.</t>
  </si>
  <si>
    <t>XII.</t>
  </si>
  <si>
    <t>2019 год</t>
  </si>
  <si>
    <t>от 09.07.2020 № 38-1-1-3-029874-2020</t>
  </si>
  <si>
    <t>от 18.08.2020 № 16-р</t>
  </si>
  <si>
    <t>от 24.07.2020 № 38-1-1-3-034013-2020</t>
  </si>
  <si>
    <t>от 17.08.2020 № 15-р</t>
  </si>
  <si>
    <t>от 31.05.2019 года № 38-1-1-3-013168-2019</t>
  </si>
  <si>
    <t>от 02.07.2019 № 38-1-0708-19</t>
  </si>
  <si>
    <t>от 11.07.2019 № 20-р</t>
  </si>
  <si>
    <t>10.07.2020 № 38-1-1-3-030261-2020</t>
  </si>
  <si>
    <t>18.08.2020 № 17-р</t>
  </si>
  <si>
    <t>№ 02-50-4536/22 от 23.05.2022</t>
  </si>
  <si>
    <t>№1435/ГЭЭ от 19.10.2021</t>
  </si>
  <si>
    <t xml:space="preserve">№ 2451-од от 01.11.2018 </t>
  </si>
  <si>
    <t>№ 38-1-1-3-012091 – 2020 от 14.04.2020 года</t>
  </si>
  <si>
    <t>№ 00110-20/КРЭ-17590/404 от 15 апреля 2020 года</t>
  </si>
  <si>
    <t>Служебная командировка министра природных ресурсов и экологии Иркутской области С.М. Трофимовой в Минприроды России 23,24 мая 2022 года</t>
  </si>
  <si>
    <t xml:space="preserve">Положительное заключение ГАУИО «Ирэкспертиза» от 09.02.2021 № 38-1-1-3-005156-2021 </t>
  </si>
  <si>
    <t xml:space="preserve">Положительное заключение ФАУ «ГЛАВГОСЭКСПЕРТИЗА» от 03.03.2021г. №38-1-1-3-009444-2021 </t>
  </si>
  <si>
    <t>№ 38-1-0933-19 от 30 августа 2019 года</t>
  </si>
  <si>
    <t>1.7.1.1.</t>
  </si>
  <si>
    <t>1.7.1.2.</t>
  </si>
  <si>
    <t>1.7.1.3.</t>
  </si>
  <si>
    <t>1.7.1.4.</t>
  </si>
  <si>
    <t>1.7.1.5.</t>
  </si>
  <si>
    <t>1.7.1.6.</t>
  </si>
  <si>
    <t>1.7.1.7.</t>
  </si>
  <si>
    <t>1.7.1.8.</t>
  </si>
  <si>
    <t>1.7.1.9.</t>
  </si>
  <si>
    <t>1.7.1.10.</t>
  </si>
  <si>
    <t>1.7.1.11.</t>
  </si>
  <si>
    <t>1.7.2.1.</t>
  </si>
  <si>
    <t xml:space="preserve">Дом-музей Волконских ГБУК Иркутский областной историко-мемориальный музей декабристов; реновация; по адресу: г. Иркутск, пер. Волконкого,10 </t>
  </si>
  <si>
    <t>ГАУК Иркутская областная филармония; реновация; г. Иркутск, ул. Дзержинского, д. 2</t>
  </si>
  <si>
    <t>1.7.3.1.</t>
  </si>
  <si>
    <t>1.7.3.2.</t>
  </si>
  <si>
    <t>1.7.3.3.</t>
  </si>
  <si>
    <t>1.7.3.4.</t>
  </si>
  <si>
    <t>1.7.3.5.</t>
  </si>
  <si>
    <t>1.7.3.6.</t>
  </si>
  <si>
    <t>1.7.3.7.</t>
  </si>
  <si>
    <t>ОГАУК Музыкальный театр им. Загурского; реновация; г. Иркутск, ул. Седова, 29</t>
  </si>
  <si>
    <t xml:space="preserve">ГАУК Иркутский областной театр юного зрителя им. А. Вампилова (ГАУК ТЮЗ им. А. Вампилова); сохранение объекта культурного наследия "Здание гостиницы "Централь"; г. Иркутск, ул. Ленина, 13 </t>
  </si>
  <si>
    <t>да, от 09.09.2020 г. № 38-1-1-2-043690-2020</t>
  </si>
  <si>
    <t>да, от 02.07.2020 № 38-1-1-2-028355-2020</t>
  </si>
  <si>
    <t>да, от 29.04.2020 г. № 38-1-1-2-015077-2020</t>
  </si>
  <si>
    <t>да, от 27.11.2020 г. № 38-1-1-2-060317-2020</t>
  </si>
  <si>
    <t>да, от 23.03.2021 г. № 38-1-1-2-012910-2021</t>
  </si>
  <si>
    <t>да, от 09.04.2021 г. № 38-1-1-2-017164-2021</t>
  </si>
  <si>
    <t>да, от 24.08.2020 г. № 38-1-1-2-040208-2020</t>
  </si>
  <si>
    <t>да, от 03.08.2020 г. № 38-1-1-2-035689-2020</t>
  </si>
  <si>
    <t>да, от 12.03.2020 г. № 38-1-1-2-006972-2020</t>
  </si>
  <si>
    <t>да, от 27.10.2021 № 38-1-1-2-063216-2021</t>
  </si>
  <si>
    <t>да, от 29.12.2020 г. № 38-1-1-2-068993-2020</t>
  </si>
  <si>
    <t>да, от 08.07.2020 г. № 38-1-1-2-029681-2020</t>
  </si>
  <si>
    <t>да, от 20.07.2021 №38-1-1-2-039301-2021; от 24.06.2021 № 38-1-1-2-033490-2021</t>
  </si>
  <si>
    <t>да, от 16.09.2021 № 38-1-1-2-052704-2021</t>
  </si>
  <si>
    <t>да,  от 17.06.2020 г. № 38-1-1-2-025025-2020</t>
  </si>
  <si>
    <t>да, от 15.12.2020 № 38-1-1-2-064688-2020</t>
  </si>
  <si>
    <t>да, от 11.05.2021 г. № 38-1-1-2-023032-2021</t>
  </si>
  <si>
    <t>да, от 21.04.2020 г. № 38-1-0343-20</t>
  </si>
  <si>
    <t>да, от 12.08.2020 г. № 38-1-1-2-037819-2020</t>
  </si>
  <si>
    <t>да, от 08.04.2020 г. № 38-1-0295-20</t>
  </si>
  <si>
    <t>2.1.6.</t>
  </si>
  <si>
    <t>Проекты комплексного развития сельских территорий и сельских агломераций Иркутской области</t>
  </si>
  <si>
    <t>Министерство строительства Иркутской области, министерство жилищной политики и энергетики Иркутской области, министерство культуры и архивов Иркутской области</t>
  </si>
  <si>
    <t>В соответствии с порядком отбора проектов комплексного развития сельских территорий или сельских агломераций определение перечня проектов, отобранных для субсидирования, и перечня проектов, условно отобранных для субсидирования производится не позднее 15 ноября года проведения отбора проектов.</t>
  </si>
  <si>
    <t>Рябухина Дарья Леонидовна, 
тел. 8(495) 607-84-30</t>
  </si>
  <si>
    <t>На рассмотрении в Минсельхозе РФ</t>
  </si>
  <si>
    <t>Субсидия на реализацию проектов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</si>
  <si>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отсутствует/требуется</t>
  </si>
  <si>
    <t>№ 279 от 22.09.2020</t>
  </si>
  <si>
    <t>Детская поликлиника ОГАУЗ "ИГКБ № 10" на бульваре Рябикова, 31 Свердловского района г. Иркутска с мощностью 500 посещений в смену</t>
  </si>
  <si>
    <t>Тангуйская участковая больница ОГБУЗ "Братская районная больница"</t>
  </si>
  <si>
    <t>15.02.2021 № 38-1-1-3-006058-2021</t>
  </si>
  <si>
    <t>27.05.2021 №38-1-1-2--026800-2021</t>
  </si>
  <si>
    <t>Детская поликлиника на 100 посещений в смену ОГБУЗ "Заларинская районная больница"</t>
  </si>
  <si>
    <t>Поликлиника на 200 посещений в поселке Качуг Качугского района</t>
  </si>
  <si>
    <t>29.03.2021 №38-1-1-3-014244-2021</t>
  </si>
  <si>
    <t>27.07.2021 № 38-1-1-2-040860-2021</t>
  </si>
  <si>
    <t>Новое здание Алзамайская городская больница ОГБУЗ "Нижнеудинская РБ"</t>
  </si>
  <si>
    <t>Врачебная амбулатория п. Тельма ОГБУЗ "Усольская городская больница"</t>
  </si>
  <si>
    <t>Детская поликлиника на 150 посещений в смену по адресу: Иркутская область, Эхирит-Булагатский район, п. Усть-Ордынский</t>
  </si>
  <si>
    <t>Детская поликлиника на 350 посещений в смену ОГБУЗ "Иркутская районная больница" в с. Хомутово Иркутского района</t>
  </si>
  <si>
    <t>Поликлиника на 350 посещений в смену ОГБУЗ "Иркутская районная больница" в р.п. Маркова</t>
  </si>
  <si>
    <t>Иркутская область, Иркутский район, п. Малая Топка (Врачебная амбулатория)</t>
  </si>
  <si>
    <t>Иркутская область, Братский район, д. Худобок (ФАП)</t>
  </si>
  <si>
    <t>Иркутская область, Эхирит-Булагатский район, д. Серафимовск (ФАП)</t>
  </si>
  <si>
    <t>Иркутская область, Аларский район, с. Апхульта (ФАП)</t>
  </si>
  <si>
    <t>Иркутская область, Иркутский район, д. Грановщина (Врачебная амбулатория)</t>
  </si>
  <si>
    <t>Иркутская область, Иркутский район, с. Максимовщина (Врачебная амбулатория)</t>
  </si>
  <si>
    <t>Иркутская область, Шелеховский район, д.Олха, ул. Школьная, 5А (Врачебная амбулатория)</t>
  </si>
  <si>
    <t>Министерство здравоохранения Иркутской области;
Министерство строительства Иркутской области</t>
  </si>
  <si>
    <t>Финансовое обеспечение создания инженерной и транспортной инфраструктуры в целях развития туристских кластеров</t>
  </si>
  <si>
    <t>Министерство жилищной политики и энергетики Иркутской области,
Министерство транспорта и дорожного хозяйства Иркутской области,
Министерство строительства Иркутской области</t>
  </si>
  <si>
    <t>1.4.4</t>
  </si>
  <si>
    <t>1.4.5</t>
  </si>
  <si>
    <t>1.4.6</t>
  </si>
  <si>
    <t>1.4.7</t>
  </si>
  <si>
    <t>нет</t>
  </si>
  <si>
    <t>№38-1-1-3-009222-2021 от 03.03.2021</t>
  </si>
  <si>
    <t>№38-1-1-2-037277-2021 от 09.07.2021</t>
  </si>
  <si>
    <t>№38-1-1-3-015911-2019 от 26.06.2019</t>
  </si>
  <si>
    <t>№38-1-0938-19 от 02.09.2019</t>
  </si>
  <si>
    <t>МБОУ г. Иркутска СОШ №31</t>
  </si>
  <si>
    <t>МКОУ «СОШ № 12 г. Нижнеудинск»</t>
  </si>
  <si>
    <t>МОУ Хребтовская СОШ</t>
  </si>
  <si>
    <t>МКОУ Малышевская СОШ</t>
  </si>
  <si>
    <t>МОУ Корсукская СОШ</t>
  </si>
  <si>
    <t>ГОКУ ИО Специальная (коррекционная) школа-интернат №19 г. Тайшета</t>
  </si>
  <si>
    <t>МБОУ Бахтайская СОШ</t>
  </si>
  <si>
    <t>МБОУ «СОШ № 13»</t>
  </si>
  <si>
    <t>МБОУ «Новомальтинская СОШ»</t>
  </si>
  <si>
    <t xml:space="preserve">МБОУ «СОШ № 10» </t>
  </si>
  <si>
    <t>МБОУ г. Иркутска гимназия №1</t>
  </si>
  <si>
    <t>МБОУ «Новожилкинская СОШ»</t>
  </si>
  <si>
    <t>МБОУ «Мишелевская СОШ  № 19»</t>
  </si>
  <si>
    <t>МБОУ «Холмушинская ООШ»</t>
  </si>
  <si>
    <t>2.2.21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</si>
  <si>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</si>
  <si>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</si>
  <si>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</si>
  <si>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</si>
  <si>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</si>
  <si>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</si>
  <si>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</si>
  <si>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</si>
  <si>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</si>
  <si>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</si>
  <si>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</si>
  <si>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</si>
  <si>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</si>
  <si>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</si>
  <si>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</si>
  <si>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</si>
  <si>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</si>
  <si>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</si>
  <si>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</si>
  <si>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</si>
  <si>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</si>
  <si>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</si>
  <si>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</si>
  <si>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от 14.04.2022 № 38-1-1-2-022649-2022</t>
  </si>
  <si>
    <t>от 19.05.2022 № 38-1-1-2-030820-2022</t>
  </si>
  <si>
    <t>от 14.04.2022 № 38-1-1-2-022542-2022</t>
  </si>
  <si>
    <t>от 9 апреля 2022 № 38-1-1-2-021246-2022</t>
  </si>
  <si>
    <t>от 15.03.2022 № 38-1-1-2-014155-2022</t>
  </si>
  <si>
    <t>от 22.04.2022 № 38-1-1-2-024907-2022</t>
  </si>
  <si>
    <t>от 14.04.2022 № 38-1-1-2-022770-2022</t>
  </si>
  <si>
    <t>от 02.11.2021 № 38-1-1-2-064511-2021</t>
  </si>
  <si>
    <t>от 22.03.2022 № 38-1-1-2-016042-2022</t>
  </si>
  <si>
    <t>от 38-1-1-2-031273-2022</t>
  </si>
  <si>
    <t>от 11.03.2022 № 38-1-1-2-013716-2022</t>
  </si>
  <si>
    <t>от 18.03.2022 № 38-1-1-2-015289-2022</t>
  </si>
  <si>
    <t>от 16.03.2022 № 38-1-1-2-014725-2022</t>
  </si>
  <si>
    <t xml:space="preserve">от 11.03.2023 № 38-1-1-2-013397-2022 </t>
  </si>
  <si>
    <t>от 20.05.2022 № 38-1-1-2-031295-2022</t>
  </si>
  <si>
    <t xml:space="preserve">от 14.03.2022 № 38-1-1-2-013781-2022                            от 28.03.2022 № 38-1-1-2-017941-2022 </t>
  </si>
  <si>
    <t xml:space="preserve">от 11.03.2022 № 38-1-1-2-013495-2022 </t>
  </si>
  <si>
    <t>от 29.03.2022 № 38-1-1-2-018321-2022                   от 14.04.2022 № 38-1-1-2-022534-2022           от 14.04.2022 № 38-1-1-2-022537-2022                  от 13.04.2022 № 38-1-1-2-022223-2022                      от 13.04.2022 № 38-1-1-2-022228-2022</t>
  </si>
  <si>
    <t>от 25 марта 2022 № 38-1-1-2-017264-2022</t>
  </si>
  <si>
    <t>от 14.03.2022 № 38-1-1-2-013784-2022</t>
  </si>
  <si>
    <t xml:space="preserve">от 14.03.2022 № 38-1-1-2-013779-2022 </t>
  </si>
  <si>
    <t xml:space="preserve">от 14.03.2022 № 38-1-1-2-013783-2022 </t>
  </si>
  <si>
    <t xml:space="preserve">Одобрена. Уведомление о результатах отбора АН-395/09 от 04.03.2022 </t>
  </si>
  <si>
    <t>Одобрена. Уведомление о результатах отбора АН-395/09 от 04.03.2023</t>
  </si>
  <si>
    <t>Одобрена. Уведомление о результатах отбора АН-395/09 от 04.03.2024</t>
  </si>
  <si>
    <t>Отклонена. Уведомление о результатах отбора АН-395/09 от 04.03.2024</t>
  </si>
  <si>
    <t>Полищук Екатерина Владимировна- сотрудник отдела обеспечения мер социальной поддержки семей с детьми Департамента демографической политики и социальной защиты населения Министерства труда и социальной защиты РФ,                                                                                                                                                                                     тел. (495) 587 88 89, доб. 2723</t>
  </si>
  <si>
    <t>В Управление Минюста России по Иркутской области ежегодно до 20 января направляется информация по форме 26 о количестве зарегистрированных актовых записей и совершенных юридических значимых действий за отчетный год. На основании этих данных по Методике, утвержденной постановлением Правительства РФ от 21.08.2006  № 513, производится расчет субвенции на очередной год и плановый период. В июле-августе ежегодно производится сверка данных за отчетный трехлетний период.</t>
  </si>
  <si>
    <t>СОШ на 1225 мест г. Иркутск, мкр. СОЮЗ</t>
  </si>
  <si>
    <t>СОШ на 1550 мест Иркутский р-н, р.п. Маркова, мкр. Березовый</t>
  </si>
  <si>
    <t>СОШ на 550 мест Иркутский р-н, д. Новолисиха</t>
  </si>
  <si>
    <t>В настоящее время проведена работа по восстановлению неосвоенной в 2021 году субсидии для исполнения действующих контрактов на строительство объектов инфраструктуры туристско-рекреационного кластера "Ворота Байкала". Средства восстановлены согласно Постановлению Правительства РФ от 09.12.2019 №1496 на исполнение в 2022 году действующих контрактов.</t>
  </si>
  <si>
    <t>Новикова Нина Владимировна -начальник управления государственных туристских проектов и безопасности туризма Федерального агентства по туризму, 
тел. +7 (903) 104-68-80</t>
  </si>
  <si>
    <t>Министерство экономического развития и промышленности Иркутской области,
Министерство строительство Иркутской области,
Министерство транспорта и дорожного хозяйства Иркутской области</t>
  </si>
  <si>
    <t xml:space="preserve">Письмо от 
20.05.2022 № 02-09-4480/22
</t>
  </si>
  <si>
    <t>Плановая дата подачи предварительной заявки на 2023-2024 годы - июль 2022 года, окончательной - сентябрь 2022 года</t>
  </si>
  <si>
    <t>Белошапка Евгения Викторовна - заместитель директора Департамента ветеринарии, тел. 8(499) 975-18-38</t>
  </si>
  <si>
    <t>Петрова Светлана Александровна - зам. директора Департамента мелиорации, тел.: 8 (495)607-67-25, s.petrova@mcx.ru
Перелыгин Владимир Михайлович - начальник отдела разработки программных мероприятий и контроля за их реализацией, тел. 8(495) 607-07-25</t>
  </si>
  <si>
    <t>Крыканова Лариса Николаевна - начальник отдела по вопросам государственной регистрации актов гражданского состояния Департамента развития и регулирования юридической помощи и правовых услуг Министерства юстиции Российской Федерации, 
тел. 8 (499) 129-59-88</t>
  </si>
  <si>
    <t>Направлена информация в Законодательное Собрание Иркутской области о поддержании инициативы Законодательного Собрания Владимирской области по внесению изменений в Методику распределения субвенции в целях её увеличения.</t>
  </si>
  <si>
    <t>Заявка о потребности направлена в Минтруд РФ письмом № 02-53-5946/22-05 от 13.04.2022</t>
  </si>
  <si>
    <t>В Министерство культуры Российской Федерации направлено письмо № 02-76-3761/22 от 21.06.2022 г. о сверке исходных данных для расчета объема субвенции</t>
  </si>
  <si>
    <t>Включены в предложения Минздрава России по проекту федерального бюджета на 2023-2025 годы и направлены в Минэкономразвития России и в Минстрой России. Заявка на рассмотрении. Решение будет принято на Заседании Правительственной комиссии по бюджетным проектировкам на очередной финансовый год и плановый период.</t>
  </si>
  <si>
    <t>Подготовлена и направлена заявка 
№ 02-54-2835/22 от 10.02.2022 г. на строительство 8 объектов здравоохранения на территории Иркутской области для включения в ФАИП на 2023 год и плановый период 2024 и 2025 годов.
По итогам рассмотрения рабочей группой заявок Иркутской области для включения в ФАИП, федеральные целевые программы за счет средств федерального бюджета на 2023-2025 годы были поддержаны заявки на строительство 3 объектов здравоохранения Иркутской области (№ 11-5/И/2-6875 от 28.04.2022).</t>
  </si>
  <si>
    <t>Служба записи актов гражданского состояния Иркутской области</t>
  </si>
  <si>
    <t>Полищук Екатерина Владимировна - сотрудник отдела обеспечения мер социальной поддержки семей с детьми Департамента демографической политики и социальной защиты населения Минтруда России, 
тел. (495) 587 88 89, доб. 2723</t>
  </si>
  <si>
    <t>Сорокина Наталья Владимировна - консультант Департамента государственной политики в сфере пенсионного обеспечения Минтруда России,                                                                                                                                                                                                                                                тел. (495) 587 88 89, доб. 2126</t>
  </si>
  <si>
    <t>Строительство (реконструкция) и капитальный ремонт учреждений культурно-досугового типа в сельской местности:</t>
  </si>
  <si>
    <t xml:space="preserve">Многофункциональный культурный центр поселка Шумский (Нижнеудинский район, р.п. Шумский, ул. Сосновая, 1б), строительство
</t>
  </si>
  <si>
    <t>Дом культуры в р.п. Октябрьский (Чунский район, р.п. Октябрьский, ул. Октябрьская, дом 23Б)
строительство</t>
  </si>
  <si>
    <t>Многофункциональный культурный центр в с. Порог (Нижнеудинский район,  с. Порог, ул. Центральная, уч. 12Б ) строительство</t>
  </si>
  <si>
    <t>Сельский клуб в п. Новостройка (Черемховский район, п. Новостройка, ул. Школьная, 34Б) 
строительство</t>
  </si>
  <si>
    <t>Гарнизонный дом офицеров (Усольский р-он, р.п. Средний, 11 а) капитальный ремонт</t>
  </si>
  <si>
    <t>МУК КДЦ "Орфей" (Нижнеилимский район, рабочий поселок Рудногорск, улица Вокзальная, дом 10) капитальный ремонт</t>
  </si>
  <si>
    <t>МКУК "Культурно-досуговый центр Юголокского муниципального образования" (Усть-удинский район, с. Юголок, ул. Ангарская, 17) капитальный ремонт</t>
  </si>
  <si>
    <t>Дом культуры в п. Соцгородок (Нижнеилимский р-он, п. Соцгородок) строительство</t>
  </si>
  <si>
    <t>Дом культуры в с. Обуса (Осинский район, с. Обуса) строительство</t>
  </si>
  <si>
    <t>Дом культуры с танцевальным залом в селе Ключи-Булак (Братский район, с. Ключи-Булак) строительство</t>
  </si>
  <si>
    <t>МБУК "Усть-Алтанский КДЦ" (Осинский р-он, с. Усть-Алтан, ул. Ленина, д.22) капитальный ремонт</t>
  </si>
  <si>
    <t>Центр культуры и современного искусства по адресу: Иркутская область, г. Саянск, мкр. Строителей, 42</t>
  </si>
  <si>
    <t>Заявка направлена 30.05.2022 г. № 02-01-4820/23</t>
  </si>
  <si>
    <t>Заявка направлена в Министерство культуры РФ. Заявка на рассмотрении</t>
  </si>
  <si>
    <t>Положительное заключение повторной государственной экспертизы ГАУИО «ИРЭКСПЕРТИЗА»  № 38-1-1-3-001411-2021 от 19.01.2021 г.</t>
  </si>
  <si>
    <t>Заявка направлена 30.05.2022 г. № 02-01-4821/24</t>
  </si>
  <si>
    <t>Заявка направлена 30.05.2022 г. № 02-01-4822/25</t>
  </si>
  <si>
    <t xml:space="preserve">МОБУ ООШ № 12» с. Червянка </t>
  </si>
  <si>
    <t>МБОУ «СОШ № 16»</t>
  </si>
  <si>
    <t>МОУ ИРМО "Мамоновская СОШ»</t>
  </si>
  <si>
    <t>ГОКУ ИО СКШ №6 г. Иркутска</t>
  </si>
  <si>
    <t>МБОУ «СОШ № 2»</t>
  </si>
  <si>
    <t>МОУ «ОСШ им. М.К. Янгеля п. Березняки»</t>
  </si>
  <si>
    <t>МАОУ «СОШ № 7 имени Пичуева Л.П.»</t>
  </si>
  <si>
    <t>СОШ на 1275 мест г. Братск, ж.р. Центральный, ул. Гагарина, 89</t>
  </si>
  <si>
    <t>Иркутская область, р-н. Ангарский, с. Одинск, ул. Победы, 7 (ФАП)</t>
  </si>
  <si>
    <t>Иркутская область, Аларский район, д. Отрадная, ул. Новая, 17-2 (ФАП)</t>
  </si>
  <si>
    <t>Иркутская область, Балаганский район, д. Заславская, ул. Лесная, 43 (ФАП)</t>
  </si>
  <si>
    <t>Иркутская область, Балаганский район, с. Шарагай, ул. Нагорная, 2 (ФАП)</t>
  </si>
  <si>
    <t>Иркутская область, Братский район, д. Кумейка, ул. Гагарина, 3 (ФАП)</t>
  </si>
  <si>
    <t>Иркутская область, Иркутский район, д. Тихонова Падь, ул. Центральная, 121А (ФАП)</t>
  </si>
  <si>
    <t>Иркутская область, Киренский район, с. Петропавловское, ул. Советская, 29 (ФАП)</t>
  </si>
  <si>
    <t>Иркутская область, Куйтунский район, с. Большой Кашелак, ул. Социалистическая, 70 (ФАП)</t>
  </si>
  <si>
    <t>Иркутская область, Нижнеудинский район, д. Рубахина, ул. Береговая, 76 (ФАП)</t>
  </si>
  <si>
    <t>Иркутская область, Нукутский район, д. Мельхитуй, ул. Ленина, 2 (ФАП)</t>
  </si>
  <si>
    <t>Иркутская область, Ольхонский район, с. Сахюрта, ул. Нагорная, 13 (ФАП)</t>
  </si>
  <si>
    <t>Иркутская область, Тайшетский район, п. Пея, ул. Береговая, 8-2 (ФАП)</t>
  </si>
  <si>
    <t>Иркутская область, Тайшетский район, п. Полинчет, ул. Центральная, сооружение 37 (ФАП)</t>
  </si>
  <si>
    <t>Иркутская область, Усольский район, д. Буреть, ул. Трактовая, 11 (ФАП)</t>
  </si>
  <si>
    <t>ГОКУ ИО Специальная (коррекционная) школа г. Бодайбо</t>
  </si>
  <si>
    <t>ГОКУ ИО СКШ №27 г. Братска</t>
  </si>
  <si>
    <t>Цвейба Никита Алхасович - консультант отдела методологии бюджетного процесса Министерства строительства и жилищно-коммунального
хозяйства РФ, моб.+7-964-592-0091</t>
  </si>
  <si>
    <t>Ржавых Александра Андреевна,
Росводресурсы,
тел. 8(499)-125-42-01</t>
  </si>
  <si>
    <t>Зубицкая Евгения Анатольевна, отдел планирования мероприятий Федерального агентства водных ресурсов, 
тел. 8 (499)724-15-54 вн. 31-23</t>
  </si>
  <si>
    <t>Письмо от 06.09.2021 № 02-01-7024/21
Плановая подача заявки на 2023-2025 годы запланирована на июль 2022 г.</t>
  </si>
  <si>
    <t>Плановая дата подачи предварительной заявки на 2023-2024 годы - июль 2022 года</t>
  </si>
  <si>
    <t>Борисова Александра Федоровна - сотрудник Минстроя России, 
тел. 8(495) 647-15-80</t>
  </si>
  <si>
    <t>ФЕДЕРАЛЬНЫЙ ПРОЕКТ "СОХРАНЕНИЕ УНИКАЛЬНЫХ ВОДНЫХ ОБЪЕКТОВ" (В РАМКАХ НАЦИОНАЛЬНОГО ПРОЕКТА)</t>
  </si>
  <si>
    <t>1.1</t>
  </si>
  <si>
    <t>Направлена заявка от 02.06.2022 №02-66-3497/22</t>
  </si>
  <si>
    <t>Экологическая реабилитация водных объектов, нарушенных молевым сплавом леса на р. Чукша</t>
  </si>
  <si>
    <t>Субсидия из федерального бюджета в целях улучшения экологического состояния гидрографической сети водных объектов,  экологического оздоровления водных объектов Нижней Волги</t>
  </si>
  <si>
    <t>Белякова Алена Владимировна, проектный офис ФП «Чистый воздух» 
Минприроды России,
тел. 8 (926)672-05-44</t>
  </si>
  <si>
    <t>Плановая дата направления заявки - июль 2022 года</t>
  </si>
  <si>
    <t xml:space="preserve">Бак Марина Юрьевна - начальник отдела проектного управления и методологии региональных программ развития промышленности Минпромторга РФ,
тел. 8 (495) 547-88-88, доб. 28441 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</si>
  <si>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</si>
  <si>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</si>
  <si>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Осуществление переданных полномочий Российской Федерации в отношении объектов культурного наследия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</si>
  <si>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</si>
  <si>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Осуществление переданных полномочий Российской Федерации в сфере охраны здоровья</t>
  </si>
  <si>
    <t>Осуществление переданных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</t>
  </si>
  <si>
    <t>Осуществление переданных полномочий Российской Федерации в области охраны и использования охотничьих ресурсов</t>
  </si>
  <si>
    <t>Служба по охране и использованию объектов животного мира Иркутской области</t>
  </si>
  <si>
    <t>Осуществление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</si>
  <si>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Заявка на отбор на 2023 год от 31.03.2022 №02-09-2571/22. Заявка от 20.05.2022 №02-09-4473/22. Информация будет дополнена в случае объявления отбора заявок субъектов РФ на 2024-2025 годы (июнь-август 2022 года).</t>
  </si>
  <si>
    <t>5.1.2.1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</si>
  <si>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</si>
  <si>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</si>
  <si>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</si>
  <si>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</si>
  <si>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</si>
  <si>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</si>
  <si>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</si>
  <si>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</si>
  <si>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</si>
  <si>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</si>
  <si>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5.1.2.12</t>
  </si>
  <si>
    <t>5.1.2.13</t>
  </si>
  <si>
    <t>5.1.2.14</t>
  </si>
  <si>
    <t>5.1.2.15</t>
  </si>
  <si>
    <t>5.1.2.16</t>
  </si>
  <si>
    <t>5.1.2.17</t>
  </si>
  <si>
    <t>5.1.2.18</t>
  </si>
  <si>
    <t>5.1.2.19</t>
  </si>
  <si>
    <t>5.1.2.20</t>
  </si>
  <si>
    <t>5.1.2.21</t>
  </si>
  <si>
    <t>5.1.2.22</t>
  </si>
  <si>
    <t>5.1.2.23</t>
  </si>
  <si>
    <t>5.1.2.24</t>
  </si>
  <si>
    <t>5.1.2.25</t>
  </si>
  <si>
    <t>5.1.2.26</t>
  </si>
  <si>
    <t>5.1.2.27</t>
  </si>
  <si>
    <t>5.1.2.28</t>
  </si>
  <si>
    <t>5.1.2.29</t>
  </si>
  <si>
    <t>5.1.2.30</t>
  </si>
  <si>
    <t>5.1.2.31</t>
  </si>
  <si>
    <t>5.1.2.32</t>
  </si>
  <si>
    <t xml:space="preserve">от 24.03.2022 г. № 38-1-1-2-016895-2022;
от 29.03.2022 № 38-1-1-2-018196-2022 </t>
  </si>
  <si>
    <t>На рассмотрении</t>
  </si>
  <si>
    <t>Лебедев С.В. - департамент государственной политики и регулирования в сфере охотничьего хозяйства министерства природных ресурсов и экологии Российской Федерации, 
тел. 8(499) 252-23-08 (доб.20-51)</t>
  </si>
  <si>
    <t xml:space="preserve">Направлены 02.06.2022 № 02-84-1255/22 исходные данные для расчета субвенции </t>
  </si>
  <si>
    <t>Самозанятым гражданам обеспечено предоставление комплекса информационно-консультационных и образовательных услуг организациями инфраструктуры поддержки малого и среднего предпринимательства и федеральными институтами развития (центрами компетенций) в офлайн и онлайн форматах (количество самозанятых граждан, получивших услуги, в том числе прошедших программы обучения)</t>
  </si>
  <si>
    <t>Субъектам малого и среднего предпринимательства, включенным в реестр социальных предпринимателей, или субъектам малого и среднего предпринимательства, созданным физическими лицами в возрасте до 25 лет включительно, предоставлены комплекс услуг и (или) финансовая поддержка в виде грантов</t>
  </si>
  <si>
    <t>Гражданам, желающим вести бизнес, начинающим и действующим предпринимателям предоставлен комплекс услуг, направленных на вовлечение в предпринимательскую деятельность, а также информационно-консультационных и образовательных услуг в офлайн и онлайн форматах на единой площадке региональной инфраструктуры поддержки бизнеса по единым требованиям к оказанию поддержки, а также в федеральных институтах развития</t>
  </si>
  <si>
    <t>Распределение, утвержденное распоряжением Правительства
Российской Федерации
от 31 мая 2022 г. № 1369-р</t>
  </si>
  <si>
    <t>Денисова Ирина Владимировна, ФГБОУ ДПО Федеральный институт развития образования, 
тел. 89534362293</t>
  </si>
  <si>
    <t>Расселение всех граждан, отвечающих установленным критериям запланировано в 2023 году,  необходимость в средствах федерального бюджета в 2024-2025 годах отсутствует.</t>
  </si>
  <si>
    <t>Исходные данные для расчета субвенции будут направлены в июле 2022 года</t>
  </si>
  <si>
    <t>Расчет объема и отбор осуществляет Минсельхоз России в соответствии с правилами, установленными Постановлением Правительства РФ от 14.07.2012 №717 (Приложение 15).
Конкурсный отбор в августе-октябре 2023 года.</t>
  </si>
  <si>
    <t>Соглашение возможно будет заключить только после отбора. Конкурсный отбор ориентировочно будет объявлен Минсельхозом России в августе-октябре 2023 года.</t>
  </si>
  <si>
    <t>Бюджетная заявка на 2023 и плановый период 2024-2025 годов от 31.05.2022 № 02-57-2272/22</t>
  </si>
  <si>
    <t>Осокина Наталья Николаевна – начальник отдела комплексной компактной застройки и грантовой поддержки инициатив сельских сообществ, 
тел. 8(499)975-43-77</t>
  </si>
  <si>
    <r>
      <t>Субсидия на поддержку сельскохозяйственного производства по отдельным подотраслям растениеводства и животноводства,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том числе:</t>
    </r>
  </si>
  <si>
    <t>Субсидии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</si>
  <si>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ФЕДЕРАЛЬНЫЙ ПРОЕКТ "РАЗВИТИЕ ФИЗИЧЕСКОЙ КУЛЬТУРЫ И МАССОВОГО СПОРТА" (ВНЕ НАЦИОНАЛЬНЫХ ПРОЕКТОВ)</t>
  </si>
  <si>
    <t xml:space="preserve">«Особняк Бутиных (арх. А.И. Кузнецов)»; сохранение объекта культурного наследия по адресу: г. Иркутск, пер. Хасановский, 1, лит А </t>
  </si>
  <si>
    <t>ФЕДЕРАЛЬНЫЙ ПРОЕКТ "СОДЕЙСТВИЕ РАЗВИТИЮ ИНФРАСТРУКТУРЫ СУБЪЕКТОВ РОССИЙСКОЙ ФЕДЕРАЦИИ (МУНИЦИПАЛЬНЫХ ОБРАЗОВАНИЙ)" (ВНЕ НАЦИОНАЛЬНЫХ ПРОЕКТОВ)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</si>
  <si>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</t>
  </si>
  <si>
    <t>№ 38-1-1-2-035938-2022 от 06.06.2022 г.</t>
  </si>
  <si>
    <t xml:space="preserve">№ 38-1-1-2-035938-2022 от 06.06.2022 г. </t>
  </si>
  <si>
    <t>Постановление администрации города Усолье-Сибирское от 07.06.2022 № 1200-па "Об утверждении проектно-сметной документации на строительство объекта "Многоквартирный жилой дом или группы жилых домов в г. Усолье-Сибирское, проспект Комсомольский, з/у 98"</t>
  </si>
  <si>
    <t>Заявка направлена от 17.06.2022 г. № 02-09-5485/22</t>
  </si>
  <si>
    <t>Илларионова Ольга Георгиевна - сотрудник Минстроя России, 
тел. 8(495) 647-15-80 доб. 52407</t>
  </si>
  <si>
    <t>Письма от 01.04.2021 № АП-01-138/21, от 28.07.2021 № 02-59-4435/21, от 11.02.2022 № 02-30-1059/22, от 25.04.2022 № 02-59-2007/22</t>
  </si>
  <si>
    <t>Заявка от 02.02.2022 г. № 02-09-693/22</t>
  </si>
  <si>
    <t xml:space="preserve">Заявка от 02.02.2022 г. № 02-09-692/22 </t>
  </si>
  <si>
    <t xml:space="preserve">Заявка от 02.02.2022 г. № 02-09-689/22 </t>
  </si>
  <si>
    <t xml:space="preserve">Заявка от 02.02.2022 г. № 02-09-767/22 </t>
  </si>
  <si>
    <t>Министерство культуры и архивов Иркутской области,
администрация Усть-Ордынского Бурятского округа</t>
  </si>
  <si>
    <t xml:space="preserve">Конкурсные процедуры не объявлены. </t>
  </si>
  <si>
    <t>Конкурсные процедуры объявлены. Плановый срок направления заявки - 12 июля 2022 г.</t>
  </si>
  <si>
    <t>Ожидание проведения процедуры конкурсного отбора Федеральным агентством по туризму. Плановый срок объявления конкурсных процедур - 31 августа 2022 г.</t>
  </si>
  <si>
    <t>Заявка о потребности направлена в Минтруд РФ письмом №02-53-10388/22-05 от 20.06.2022 г.</t>
  </si>
  <si>
    <t>Заявка о потребности направлена в Минтруд РФ письмом №02-53-5946/22-05 от 13.04.2022 г.</t>
  </si>
  <si>
    <t>2025 г.</t>
  </si>
  <si>
    <t xml:space="preserve">Заявка о потребности направлена в Минтруд РФ письмом № 02-53-10388/22-05 от 20.06.2022
</t>
  </si>
  <si>
    <t>СВОДНАЯ БЮДЖЕТНАЯ ЗАЯВКА ИРКУТСКОЙ ОБЛАСТИ ПО СОСТОЯНИЮ НА 01.07.2022 г.</t>
  </si>
  <si>
    <t>грант в форме субсидии</t>
  </si>
  <si>
    <t>Министерство культуры и архивов Иркутской области, 
служба по охране объектов культурного наследия Иркутской области</t>
  </si>
  <si>
    <t>Заключено соглашение от 27.12.2021 № 073-09-2022-101. Плановая дата заключения соглашения на 2025 год - декабрь 2022 года</t>
  </si>
  <si>
    <t>Заявка на 2023-2025 годы будет направлена до 10 июля 2022 года.</t>
  </si>
  <si>
    <t>Подготовлена информация об объемах средств федерального бюджета, необходимых для финансового обеспечения на 2023-2025 годы</t>
  </si>
  <si>
    <t>Заявка направлена № 02-01-5971/22 от 30.06.2022 г.</t>
  </si>
  <si>
    <t>Приобретение троллейбусов в г. Братске</t>
  </si>
  <si>
    <t>1.6.1.</t>
  </si>
  <si>
    <t>1.6.2.</t>
  </si>
  <si>
    <t>1.6.3.</t>
  </si>
  <si>
    <t>Здание МКУК Шелеховского района «Городской музей Г.И. Шелехова» (Иркутская область, г. Шелехов, квартал 18, дом 39 А), капитальный ремонт фасада</t>
  </si>
  <si>
    <t>Нежилое здание МБУК "БГОМ истории освоения Ангары" (Иркутская область, город Братск, жилой район Падун, улица Гидростроителей, 54), капитальный ремонт</t>
  </si>
  <si>
    <t>Положительное заключение ГАУИО «Ирэкспертиза» от 02.07.2020 г. № 38-1-1-2-028338-2020</t>
  </si>
  <si>
    <t>1.6.4.</t>
  </si>
  <si>
    <t>1.6.5.</t>
  </si>
  <si>
    <t>1.6.6.</t>
  </si>
  <si>
    <t>1.6.7.</t>
  </si>
  <si>
    <t>Здание  музея МБУК "Усть-Удинский районный краеведческий музей" (Иркутская область, Усть-Удинский районный, п. Усть-Уда, ул. Советская, д.3), капитальный ремонт</t>
  </si>
  <si>
    <t>Здание "Музей истории города" (Иркутская область, г. Саянск, микрорайон Строителей, д. 24), капитальный ремонт</t>
  </si>
  <si>
    <t>Здание МБУК "Городской музей" (г. Ангарск, квартал 73, дом 3, помещение 24), капитальный ремонт</t>
  </si>
  <si>
    <t xml:space="preserve">Заявка направлена № 02-01-4653/22 от 25.05.2022 г. 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</si>
  <si>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</si>
  <si>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</si>
  <si>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</si>
  <si>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</si>
  <si>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</si>
  <si>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</si>
  <si>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</si>
  <si>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</si>
  <si>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</si>
  <si>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</si>
  <si>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</si>
  <si>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</si>
  <si>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ГОБУДО Иркутской областной ДШИ (г. Иркутск, ул. Желябова, 9), капитальный ремонт</t>
  </si>
  <si>
    <t>МБУ ДО "Школа искусств № 2 им. Т.Г. Сафиулиной" (Иркутская область, г. Усть-Илимск, ул. Георгия Димитрова, 4), капитальный ремонт</t>
  </si>
  <si>
    <t>Муниципальное казенное учреждение дополнительного образования "Детская школа искусств п. Михайловка" (Черемховский район, р.п. Михайловка, Советская, д. 6), капитальный ремонт</t>
  </si>
  <si>
    <t>Муниципальное бюджетное учреждение дополнительного образования "Алзамайская детская школа искусств" (Нижнеудинский район, г. Алзамай, ул. Первомайская, 99), капитальный ремонт</t>
  </si>
  <si>
    <t>Детская музыкальная школа в с. Урик Иркутский район, капитальный ремонт</t>
  </si>
  <si>
    <t>МОУДО "Районная детская школа искусств" (Усть-Илимский район), капитальный ремонт</t>
  </si>
  <si>
    <t>Муниципальное учреждение дополнительного образования "Детская школа искусств" (Иркутская область, Казачинско-Ленский район, р.п. Улькан, ул. 26 Бакинских комиссаров, 7), капитальный ремонт</t>
  </si>
  <si>
    <t>Муниципальное казенное учреждение культуры дополнительного образования Шелеховского района  "Детская художественная школа им. В.И. Сурикова" (г. Шелехов, 1 м-он, 40 б, г. Шелехов, 1 м-он, 40 б), капитальный ремонт</t>
  </si>
  <si>
    <t>Муниципальное бюджетное учреждение дополнительного образования "Осинская школа искусств" (Осинский район, с. Ново-Ленино, ул. Ленина, 2), капитальный ремонт</t>
  </si>
  <si>
    <t>Муниципальное бюджетное учреждение дополнительного образования "ДШИ р.п. Тайтурка" (Усольский район, р.п. Тайтурка, ул. Гоголя, 2), капитальный ремонт</t>
  </si>
  <si>
    <t>Муниципальное бюджетное учреждение дополнительного образования "Детская художественная школа № 1" (г. Ангарск, 59 квартал, дом 9), капитальный ремонт</t>
  </si>
  <si>
    <t>МБУДО "Школа искусств №1" (г. Усть-Илимск, ул. Крупской, 12), капитальный ремонт</t>
  </si>
  <si>
    <t>МБУДО "Школа искусств №1" (г. Усть-Илимск, ул. Чайковского, 1а), капитальный ремонт</t>
  </si>
  <si>
    <t xml:space="preserve">Заявка направлена № 02-09-657/22 от 31.01.2022 года на 23 проекта по 17 муниципальным образованиям, содержащие 96 мероприятий (в т.ч. по объектам: 34 - строительство, 24 - капитальный ремонт, 9 -приобретение, 2 - реконструкция) </t>
  </si>
  <si>
    <t>Заявка направлена № 02-01-4826/22 от 30.05.2022 г.</t>
  </si>
  <si>
    <t>Реконструкция ул. Ягодная-Дорожная в д. Новолисиха Ушаковского муниципального образования Иркутского района Иркутской области</t>
  </si>
  <si>
    <t xml:space="preserve">субсидия </t>
  </si>
  <si>
    <t>министерство строительства Иркутской области</t>
  </si>
  <si>
    <t>Строительство объектов транспортной инфраструктуры для многоквартирных домов на земельном участке с кадастровым номером 38:36:000022:47326</t>
  </si>
  <si>
    <t>Строительство объектов водоотведения обеспечивающих коммунальной инфраструктурой жилые дома по ул. Пискунова в г. Иркутске</t>
  </si>
  <si>
    <t>Реализация проектов по развитию территорий, расположенных в границах населенных пунктов, предусматривающих строительство жилья путем подключения (технологического присоединения) проектов по развитию территорий к сетям теплоснабжения, водоснабжения и водоотведения</t>
  </si>
  <si>
    <t>Письмо от 13.12.2021 №54805-ЮГ/11
соглашение от 28.12.20221 № 069-09-2022-257</t>
  </si>
  <si>
    <t>распоряжением Губернатора Иркутской области</t>
  </si>
  <si>
    <t>УТВЕРЖДЕНА</t>
  </si>
  <si>
    <t>Отбор проводится на конкурсной основе. Направлена заявка на 2023 год № 02-09-5139/22 от 07.06.2022 г.</t>
  </si>
  <si>
    <t>Субсидия на оказание государственной поддержки развития образовательно-производственных центров (кластеров) на основе интеграции образовательных организаций, реализующих программы среднего профессионального образования, и организаций, действующих в реальном секторе экономики (нефтегазохимическая отрасль)</t>
  </si>
  <si>
    <t>Субсидия на оказание государственной поддержки развития образовательно-производственных центров (кластеров) на основе интеграции образовательных организаций, реализующих программы среднего профессионального образования, и организаций, действующих в реальном секторе экономики (энергетика)</t>
  </si>
  <si>
    <t>Субсидия на оказание государственной поддержки развития образовательно-производственных центров (кластеров) на основе интеграции образовательных организаций, реализующих программы среднего профессионального образования, и организаций, действующих в реальном секторе экономики (металлургия)</t>
  </si>
  <si>
    <t xml:space="preserve">ИОГБУК "Черемховский Драматический театр им. В.П. Гуркина"; Иркутская область, г. Черемхово, ул. Ленина, 25 </t>
  </si>
  <si>
    <t>ОГАУК Иркутский академический драматический театр им. Н.П. Охлопкова</t>
  </si>
  <si>
    <t>ОГАУК Иркутский музыкальный театр им. Н.М. Загурского</t>
  </si>
  <si>
    <t>МБУК г.Иркутска "Иркутский городской театр народной драмы"</t>
  </si>
  <si>
    <t>Плановый срок получения положительного заключения государственной экспертизы - сентябрь 2023 года</t>
  </si>
  <si>
    <t>Плановый срок получения положительного заключения государственной экспертизы - декабрь 2022 года</t>
  </si>
  <si>
    <t>Реконструкция и капитальный ремонт региональных и муниципальных театров</t>
  </si>
  <si>
    <t>1.8.1.</t>
  </si>
  <si>
    <t>1.8.2.</t>
  </si>
  <si>
    <t>1.8.3.</t>
  </si>
  <si>
    <t>1.8.4.</t>
  </si>
  <si>
    <t>Заявка на 2023-2024 годы будет направлена до 15 июля 2022 года.</t>
  </si>
  <si>
    <t>Фесенко Олеся Александровна, сотрудник Минкультуры России, 
тел.: 8(495)-629-10-10, доб. 1526</t>
  </si>
  <si>
    <t>Подготовка пакета документов для участия в отборе на 2023-2024 годы</t>
  </si>
  <si>
    <t>Положительное заключение государственной экспертизы. Государственное автономное учреждение Иркутской области "Экспертиза в строительстве Иркутской области. Контракт на оказание экспертных услуг от 29.12.2021 № Дс-1469-1469/12.21</t>
  </si>
  <si>
    <t>Отбор проводится на конкурсной основе. Направлена заявка на 2023 год № 02-09-5147/22 от 07.06.2022 г.</t>
  </si>
  <si>
    <t>Отбор проводится на конкурсной основе. Направлена заявка на 2023 год № 02-09-5145/22 от 07.06.2022 г.</t>
  </si>
  <si>
    <t>Субсидия на оказание государственной поддержки развития образовательно-производственных центров (кластеров) на основе интеграции образовательных организаций, реализующих программы среднего профессионального образования, и организаций, действующих в реальном секторе экономики</t>
  </si>
  <si>
    <t>6.1.1.</t>
  </si>
  <si>
    <t>6.1.2.</t>
  </si>
  <si>
    <t>6.1.3.</t>
  </si>
  <si>
    <t xml:space="preserve">Информация о необходимом объеме субсидии по выплате региональной социальной доплаты к пенсии направлена в Минтруд России письмом № 02-53-11328/22-05 от 04.07.2022 г. </t>
  </si>
  <si>
    <t>ГОСУДАРСТВЕННАЯ ПРОГРАММА РОССИЙСКОЙ ФЕДЕРАЦИИ "ОБЕСПЕЧЕНИЕ ОБЩЕСТВЕННОГО ПОРЯДКА И ПРОТИВОДЕЙСТВИЕ ПРЕСТУПНОСТИ"</t>
  </si>
  <si>
    <t>Заявка от 24.06.2021 № 02-09-4841/21 на финансирование в 2022-2024 г. Протокол Минпросвещения РФ от 30.07.2021 №2/2021. Направлена заявка № 02-09-5686/22 от 23.06.2022 на 2025 год</t>
  </si>
  <si>
    <t xml:space="preserve">МБУ ДО "Центральная детская школа искусств" (Ангарский городской округ), капитальный ремонт </t>
  </si>
  <si>
    <t>Здания Краеведческого отдела (МКУК «Историко-Художественный музей им. академика М.К.Янгеля»)(Иркутская область, Нижнеилимский район, город Железногорск-Илимский, квартал 2, дом 75 А), капитальный ремонт</t>
  </si>
  <si>
    <t>Здание МКУК «Историко-краеведческий музей» (Иркутская область, г. Киренск, ул. Советская, д. 18), капитальный ремонт</t>
  </si>
  <si>
    <t>Приобретение автобусов, работающих на газомоторном топливе в г. Братске</t>
  </si>
  <si>
    <t>Бурмистрова Ольга Александровна, ведущий советник отдела по работе с соотечественниками управления по работе с беженцами, соотечественниками и вынужденными переселенцами Главного управления по вопросам миграции МВД России, тел. 8 (495) 214-19-29;
Юшин Алексей Викторович, старший инспектор по особым поручениям отдела по работе с соотечественниками Главного управления по вопросам миграции МВД России, 
тел. 8 (495) 214-18-14</t>
  </si>
  <si>
    <t>Положительное заключение ГАУ ИО "Экспертиза в строительстве Иркутской области" от 18.08.2020г. №38-1-1-3-038909-2020</t>
  </si>
  <si>
    <t>Иркутская область, Усть-Удинский район, д. Халюты, ул. Центральная, 5 (ФАП)</t>
  </si>
  <si>
    <t>Иркутская область, Тулунский район, с. Мугун, ул. Ленина, 61 (ФАП)</t>
  </si>
  <si>
    <t xml:space="preserve">Лечебный корпус № 3 ОГКУЗ «Иркутская областная психиатрическая больница № 2» в д. Сосновый Бор на 180 коек </t>
  </si>
  <si>
    <t>Здание начальной школы МБОУ г. Иркутска СОШ №75</t>
  </si>
  <si>
    <t>Здание начальной школы МБОУ г. Иркутска СОШ №53</t>
  </si>
  <si>
    <t>МБОУ СОШ №6 г. Усолье-Сибирское</t>
  </si>
  <si>
    <t>Строительство зданий двух жилых корпусов на 120 мест c теплыми переходами (1 этап - реконструкции) ОГАУСО «Марковский геронтологический центр», расположенного по адресу: Иркутская область, Иркутский район, р.п. Маркова, ул. Лесная, д. 2а</t>
  </si>
  <si>
    <t>«Комплекс зданий Восточно-Сибирского отдела Русского географического общества, 1883-1891 гг., арх. Розен Г.В.», г. Иркутск, ул. Карла Маркса, 2</t>
  </si>
  <si>
    <t>ИО ГБУК театр-студия «Театр Пилигримов»; реновация; г. Иркутск, пер. Волконского, 8</t>
  </si>
  <si>
    <t>Осуществление отдельных полномочий в области водных отношений:</t>
  </si>
  <si>
    <t>Объект капитального строительства "Реконструкция здания МБОУ Заларинская СОШ № 2 по адресу: Иркутская область, р.п. Залари, ул. Рабочая, 2"</t>
  </si>
  <si>
    <t>Объект капитального строительства "Физкультурно-оздоровительный комплекс в р.п. Залари Заларинского района Иркутской области" по адресу: Иркутская область, Заларинский район, рабочий поселок Залари, ул. Ленина, 71</t>
  </si>
  <si>
    <t>Оказание финансовой поддержки при исполнении расходных обязательств муниципальных образований по строительству жилья, предоставляемого по договору найма жилого помещения</t>
  </si>
  <si>
    <t>от 8 июля 2022 года № 197-р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</si>
</sst>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"/>
    <numFmt numFmtId="165" formatCode="0.0"/>
    <numFmt numFmtId="166" formatCode="0."/>
    <numFmt numFmtId="167" formatCode="_-* #,##0.0\ _₽_-;\-* #,##0.0\ _₽_-;_-* &quot;-&quot;?\ _₽_-;_-@_-"/>
    <numFmt numFmtId="168" formatCode="#,##0.0_ ;\-#,##0.0\ "/>
    <numFmt numFmtId="169" formatCode="_-* #,##0.00_-;\-* #,##0.00_-;_-* &quot;-&quot;??_-;_-@_-"/>
    <numFmt numFmtId="170" formatCode="000000"/>
    <numFmt numFmtId="171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15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1" fillId="0" borderId="0"/>
  </cellStyleXfs>
  <cellXfs count="253">
    <xf numFmtId="0" fontId="0" fillId="0" borderId="0" xfId="0"/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2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0" fontId="7" fillId="2" borderId="0" xfId="0" applyFont="1" applyFill="1"/>
    <xf numFmtId="164" fontId="6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11" fillId="6" borderId="0" xfId="0" applyFont="1" applyFill="1"/>
    <xf numFmtId="0" fontId="7" fillId="3" borderId="0" xfId="0" applyFont="1" applyFill="1"/>
    <xf numFmtId="0" fontId="4" fillId="5" borderId="1" xfId="2" applyFont="1" applyFill="1" applyBorder="1" applyAlignment="1">
      <alignment horizontal="center" vertical="center" wrapText="1"/>
    </xf>
    <xf numFmtId="0" fontId="11" fillId="5" borderId="0" xfId="0" applyFont="1" applyFill="1"/>
    <xf numFmtId="49" fontId="4" fillId="2" borderId="1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3" fillId="3" borderId="0" xfId="0" applyFont="1" applyFill="1"/>
    <xf numFmtId="0" fontId="9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vertical="center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vertical="center" wrapText="1"/>
    </xf>
    <xf numFmtId="164" fontId="8" fillId="4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3" fillId="2" borderId="0" xfId="0" applyFont="1" applyFill="1"/>
    <xf numFmtId="49" fontId="4" fillId="5" borderId="1" xfId="2" applyNumberFormat="1" applyFont="1" applyFill="1" applyBorder="1" applyAlignment="1">
      <alignment horizontal="center" vertical="center"/>
    </xf>
    <xf numFmtId="0" fontId="7" fillId="5" borderId="0" xfId="0" applyFont="1" applyFill="1" applyAlignment="1"/>
    <xf numFmtId="0" fontId="7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6" borderId="0" xfId="0" applyFont="1" applyFill="1"/>
    <xf numFmtId="0" fontId="6" fillId="6" borderId="1" xfId="2" applyFont="1" applyFill="1" applyBorder="1" applyAlignment="1">
      <alignment horizontal="left" vertical="center" wrapText="1"/>
    </xf>
    <xf numFmtId="0" fontId="6" fillId="6" borderId="0" xfId="0" applyFont="1" applyFill="1"/>
    <xf numFmtId="0" fontId="16" fillId="6" borderId="1" xfId="0" applyFont="1" applyFill="1" applyBorder="1" applyAlignment="1" applyProtection="1">
      <alignment horizontal="left" vertical="center" wrapText="1" shrinkToFit="1"/>
      <protection locked="0"/>
    </xf>
    <xf numFmtId="0" fontId="6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4" fillId="6" borderId="1" xfId="0" applyFont="1" applyFill="1" applyBorder="1" applyAlignment="1">
      <alignment horizontal="center" vertical="center"/>
    </xf>
    <xf numFmtId="16" fontId="4" fillId="6" borderId="1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8" fillId="4" borderId="0" xfId="2" applyFont="1" applyFill="1" applyBorder="1"/>
    <xf numFmtId="0" fontId="3" fillId="3" borderId="0" xfId="2" applyFont="1" applyFill="1"/>
    <xf numFmtId="0" fontId="3" fillId="0" borderId="0" xfId="2" applyFont="1" applyBorder="1"/>
    <xf numFmtId="0" fontId="4" fillId="3" borderId="0" xfId="2" applyFont="1" applyFill="1"/>
    <xf numFmtId="164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3" borderId="0" xfId="2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3" fillId="3" borderId="1" xfId="2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3" borderId="1" xfId="0" applyFont="1" applyFill="1" applyBorder="1" applyAlignment="1">
      <alignment vertical="center" wrapText="1"/>
    </xf>
    <xf numFmtId="16" fontId="7" fillId="3" borderId="1" xfId="0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166" fontId="13" fillId="3" borderId="1" xfId="0" applyNumberFormat="1" applyFont="1" applyFill="1" applyBorder="1" applyAlignment="1">
      <alignment horizontal="center" vertical="center" shrinkToFit="1"/>
    </xf>
    <xf numFmtId="164" fontId="13" fillId="3" borderId="1" xfId="0" applyNumberFormat="1" applyFont="1" applyFill="1" applyBorder="1" applyAlignment="1">
      <alignment horizontal="center" vertical="center" shrinkToFit="1"/>
    </xf>
    <xf numFmtId="1" fontId="13" fillId="3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64" fontId="12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14" fontId="7" fillId="3" borderId="1" xfId="6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6" fontId="3" fillId="3" borderId="1" xfId="2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left" vertical="center" wrapText="1" shrinkToFit="1"/>
      <protection locked="0"/>
    </xf>
    <xf numFmtId="0" fontId="7" fillId="3" borderId="1" xfId="0" applyFont="1" applyFill="1" applyBorder="1" applyAlignment="1">
      <alignment horizontal="center" vertical="top" wrapText="1"/>
    </xf>
    <xf numFmtId="168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3" fillId="0" borderId="0" xfId="2" applyFont="1"/>
    <xf numFmtId="2" fontId="3" fillId="3" borderId="1" xfId="2" applyNumberFormat="1" applyFont="1" applyFill="1" applyBorder="1" applyAlignment="1">
      <alignment horizontal="center" vertical="center" wrapText="1"/>
    </xf>
    <xf numFmtId="0" fontId="17" fillId="0" borderId="0" xfId="2" applyFont="1"/>
    <xf numFmtId="164" fontId="20" fillId="0" borderId="1" xfId="5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2" applyFont="1" applyFill="1"/>
    <xf numFmtId="14" fontId="3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" fontId="10" fillId="0" borderId="1" xfId="0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/>
    </xf>
    <xf numFmtId="164" fontId="7" fillId="0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0" fontId="20" fillId="0" borderId="0" xfId="2" applyFont="1" applyFill="1"/>
    <xf numFmtId="0" fontId="10" fillId="3" borderId="1" xfId="2" applyFont="1" applyFill="1" applyBorder="1" applyAlignment="1">
      <alignment horizontal="left" vertical="center" wrapText="1"/>
    </xf>
    <xf numFmtId="0" fontId="3" fillId="7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/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2" fillId="0" borderId="1" xfId="0" applyFont="1" applyFill="1" applyBorder="1" applyAlignment="1" applyProtection="1">
      <alignment horizontal="left" vertical="center" wrapText="1" shrinkToFit="1"/>
      <protection locked="0"/>
    </xf>
    <xf numFmtId="168" fontId="7" fillId="0" borderId="1" xfId="0" applyNumberFormat="1" applyFont="1" applyFill="1" applyBorder="1" applyAlignment="1">
      <alignment horizontal="center" vertical="center" wrapText="1"/>
    </xf>
    <xf numFmtId="0" fontId="7" fillId="0" borderId="0" xfId="2" applyFont="1" applyFill="1"/>
    <xf numFmtId="0" fontId="7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/>
    <xf numFmtId="0" fontId="10" fillId="0" borderId="1" xfId="0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3" fillId="0" borderId="0" xfId="2" applyFont="1" applyFill="1" applyBorder="1"/>
    <xf numFmtId="164" fontId="7" fillId="0" borderId="1" xfId="5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top"/>
    </xf>
    <xf numFmtId="14" fontId="7" fillId="0" borderId="1" xfId="0" applyNumberFormat="1" applyFont="1" applyFill="1" applyBorder="1" applyAlignment="1">
      <alignment horizontal="center" vertical="center" wrapText="1"/>
    </xf>
    <xf numFmtId="171" fontId="3" fillId="0" borderId="1" xfId="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4" fontId="3" fillId="3" borderId="1" xfId="5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70" fontId="3" fillId="3" borderId="1" xfId="2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3" xfId="7"/>
    <cellStyle name="Обычный 4 2" xfId="6"/>
    <cellStyle name="Обычный 4 6" xfId="2"/>
    <cellStyle name="Процентный 5 2" xfId="1"/>
    <cellStyle name="Финансовый" xfId="5" builtinId="3"/>
    <cellStyle name="Финансовый 3" xfId="4"/>
  </cellStyles>
  <dxfs count="0"/>
  <tableStyles count="0" defaultTableStyle="TableStyleMedium2" defaultPivotStyle="PivotStyleMedium9"/>
  <colors>
    <mruColors>
      <color rgb="FFFF5BAD"/>
      <color rgb="FFFF57AB"/>
      <color rgb="FFFF3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4"/>
  <sheetViews>
    <sheetView tabSelected="1" view="pageBreakPreview" zoomScale="60" zoomScaleNormal="40" workbookViewId="0">
      <pane ySplit="8" topLeftCell="A492" activePane="bottomLeft" state="frozen"/>
      <selection activeCell="H1" sqref="H1"/>
      <selection pane="bottomLeft" activeCell="A52" sqref="A52"/>
    </sheetView>
  </sheetViews>
  <sheetFormatPr defaultRowHeight="15.75" outlineLevelRow="2" x14ac:dyDescent="0.25"/>
  <cols>
    <col min="1" max="1" width="9.5703125" style="32" customWidth="1"/>
    <col min="2" max="2" width="56.85546875" style="63" customWidth="1"/>
    <col min="3" max="3" width="19" style="32" customWidth="1"/>
    <col min="4" max="4" width="25.5703125" style="32" customWidth="1"/>
    <col min="5" max="5" width="24.5703125" style="32" customWidth="1"/>
    <col min="6" max="13" width="19.140625" style="32" customWidth="1"/>
    <col min="14" max="14" width="19.5703125" style="32" customWidth="1"/>
    <col min="15" max="17" width="19.140625" style="32" customWidth="1"/>
    <col min="18" max="18" width="11.5703125" style="32" customWidth="1"/>
    <col min="19" max="19" width="12" style="32" customWidth="1"/>
    <col min="20" max="20" width="21" style="32" customWidth="1"/>
    <col min="21" max="21" width="20.28515625" style="32" customWidth="1"/>
    <col min="22" max="22" width="19.5703125" style="32" customWidth="1"/>
    <col min="23" max="23" width="21.85546875" style="32" customWidth="1"/>
    <col min="24" max="24" width="18.42578125" style="32" customWidth="1"/>
    <col min="25" max="25" width="17.7109375" style="32" customWidth="1"/>
    <col min="26" max="26" width="19.42578125" style="32" customWidth="1"/>
    <col min="27" max="27" width="36.28515625" style="32" customWidth="1"/>
    <col min="28" max="28" width="41.85546875" style="32" customWidth="1"/>
    <col min="29" max="29" width="27.85546875" style="32" customWidth="1"/>
    <col min="30" max="16384" width="9.140625" style="1"/>
  </cols>
  <sheetData>
    <row r="1" spans="1:29" s="145" customFormat="1" ht="18.75" x14ac:dyDescent="0.25">
      <c r="A1" s="191"/>
      <c r="B1" s="192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4" t="s">
        <v>1132</v>
      </c>
      <c r="AC1" s="191"/>
    </row>
    <row r="2" spans="1:29" s="145" customFormat="1" ht="18.75" x14ac:dyDescent="0.25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4" t="s">
        <v>1131</v>
      </c>
      <c r="AC2" s="191"/>
    </row>
    <row r="3" spans="1:29" s="145" customFormat="1" ht="18.75" x14ac:dyDescent="0.25">
      <c r="A3" s="191"/>
      <c r="B3" s="192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4" t="s">
        <v>1180</v>
      </c>
      <c r="AC3" s="191"/>
    </row>
    <row r="4" spans="1:29" s="145" customFormat="1" ht="30" customHeight="1" x14ac:dyDescent="0.25">
      <c r="A4" s="222" t="s">
        <v>1075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</row>
    <row r="6" spans="1:29" ht="44.25" customHeight="1" x14ac:dyDescent="0.25">
      <c r="A6" s="230" t="s">
        <v>0</v>
      </c>
      <c r="B6" s="230" t="s">
        <v>3</v>
      </c>
      <c r="C6" s="230" t="s">
        <v>347</v>
      </c>
      <c r="D6" s="232" t="s">
        <v>559</v>
      </c>
      <c r="E6" s="232" t="s">
        <v>325</v>
      </c>
      <c r="F6" s="236" t="s">
        <v>327</v>
      </c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8"/>
      <c r="R6" s="223" t="s">
        <v>560</v>
      </c>
      <c r="S6" s="223"/>
      <c r="T6" s="223"/>
      <c r="U6" s="223"/>
      <c r="V6" s="223"/>
      <c r="W6" s="223"/>
      <c r="X6" s="223"/>
      <c r="Y6" s="223"/>
      <c r="Z6" s="223"/>
      <c r="AA6" s="226" t="s">
        <v>338</v>
      </c>
      <c r="AB6" s="226" t="s">
        <v>339</v>
      </c>
      <c r="AC6" s="233" t="s">
        <v>340</v>
      </c>
    </row>
    <row r="7" spans="1:29" ht="36" customHeight="1" x14ac:dyDescent="0.25">
      <c r="A7" s="230"/>
      <c r="B7" s="230"/>
      <c r="C7" s="230"/>
      <c r="D7" s="232"/>
      <c r="E7" s="232"/>
      <c r="F7" s="236" t="s">
        <v>318</v>
      </c>
      <c r="G7" s="237"/>
      <c r="H7" s="237"/>
      <c r="I7" s="238"/>
      <c r="J7" s="236" t="s">
        <v>319</v>
      </c>
      <c r="K7" s="237"/>
      <c r="L7" s="237"/>
      <c r="M7" s="238"/>
      <c r="N7" s="236" t="s">
        <v>326</v>
      </c>
      <c r="O7" s="237"/>
      <c r="P7" s="237"/>
      <c r="Q7" s="238"/>
      <c r="R7" s="224" t="s">
        <v>328</v>
      </c>
      <c r="S7" s="225"/>
      <c r="T7" s="226" t="s">
        <v>332</v>
      </c>
      <c r="U7" s="226" t="s">
        <v>333</v>
      </c>
      <c r="V7" s="226" t="s">
        <v>334</v>
      </c>
      <c r="W7" s="226" t="s">
        <v>335</v>
      </c>
      <c r="X7" s="226" t="s">
        <v>336</v>
      </c>
      <c r="Y7" s="228" t="s">
        <v>329</v>
      </c>
      <c r="Z7" s="226" t="s">
        <v>337</v>
      </c>
      <c r="AA7" s="231"/>
      <c r="AB7" s="231"/>
      <c r="AC7" s="234"/>
    </row>
    <row r="8" spans="1:29" ht="126.75" customHeight="1" x14ac:dyDescent="0.25">
      <c r="A8" s="230"/>
      <c r="B8" s="230"/>
      <c r="C8" s="230"/>
      <c r="D8" s="232"/>
      <c r="E8" s="232"/>
      <c r="F8" s="74" t="s">
        <v>341</v>
      </c>
      <c r="G8" s="75" t="s">
        <v>342</v>
      </c>
      <c r="H8" s="75" t="s">
        <v>343</v>
      </c>
      <c r="I8" s="74" t="s">
        <v>344</v>
      </c>
      <c r="J8" s="74" t="s">
        <v>341</v>
      </c>
      <c r="K8" s="75" t="s">
        <v>342</v>
      </c>
      <c r="L8" s="75" t="s">
        <v>343</v>
      </c>
      <c r="M8" s="74" t="s">
        <v>344</v>
      </c>
      <c r="N8" s="74" t="s">
        <v>341</v>
      </c>
      <c r="O8" s="75" t="s">
        <v>342</v>
      </c>
      <c r="P8" s="75" t="s">
        <v>343</v>
      </c>
      <c r="Q8" s="74" t="s">
        <v>344</v>
      </c>
      <c r="R8" s="129" t="s">
        <v>330</v>
      </c>
      <c r="S8" s="129" t="s">
        <v>331</v>
      </c>
      <c r="T8" s="227"/>
      <c r="U8" s="227"/>
      <c r="V8" s="227"/>
      <c r="W8" s="227"/>
      <c r="X8" s="227"/>
      <c r="Y8" s="229"/>
      <c r="Z8" s="227"/>
      <c r="AA8" s="227"/>
      <c r="AB8" s="227"/>
      <c r="AC8" s="235"/>
    </row>
    <row r="9" spans="1:29" s="131" customFormat="1" x14ac:dyDescent="0.25">
      <c r="A9" s="28">
        <v>1</v>
      </c>
      <c r="B9" s="76">
        <v>2</v>
      </c>
      <c r="C9" s="76">
        <v>3</v>
      </c>
      <c r="D9" s="28">
        <v>4</v>
      </c>
      <c r="E9" s="76">
        <v>5</v>
      </c>
      <c r="F9" s="76">
        <v>6</v>
      </c>
      <c r="G9" s="28">
        <v>7</v>
      </c>
      <c r="H9" s="76">
        <v>8</v>
      </c>
      <c r="I9" s="76">
        <v>9</v>
      </c>
      <c r="J9" s="28">
        <v>10</v>
      </c>
      <c r="K9" s="76">
        <v>11</v>
      </c>
      <c r="L9" s="76">
        <v>12</v>
      </c>
      <c r="M9" s="28">
        <v>13</v>
      </c>
      <c r="N9" s="76">
        <v>14</v>
      </c>
      <c r="O9" s="76">
        <v>15</v>
      </c>
      <c r="P9" s="28">
        <v>16</v>
      </c>
      <c r="Q9" s="76">
        <v>17</v>
      </c>
      <c r="R9" s="76">
        <v>18</v>
      </c>
      <c r="S9" s="28">
        <v>19</v>
      </c>
      <c r="T9" s="76">
        <v>20</v>
      </c>
      <c r="U9" s="76">
        <v>21</v>
      </c>
      <c r="V9" s="28">
        <v>22</v>
      </c>
      <c r="W9" s="76">
        <v>23</v>
      </c>
      <c r="X9" s="28">
        <v>24</v>
      </c>
      <c r="Y9" s="76">
        <v>25</v>
      </c>
      <c r="Z9" s="28">
        <v>26</v>
      </c>
      <c r="AA9" s="76">
        <v>27</v>
      </c>
      <c r="AB9" s="28">
        <v>28</v>
      </c>
      <c r="AC9" s="76">
        <v>29</v>
      </c>
    </row>
    <row r="10" spans="1:29" s="133" customFormat="1" ht="60.75" customHeight="1" x14ac:dyDescent="0.3">
      <c r="A10" s="139"/>
      <c r="B10" s="209" t="s">
        <v>738</v>
      </c>
      <c r="C10" s="210" t="s">
        <v>15</v>
      </c>
      <c r="D10" s="210" t="s">
        <v>15</v>
      </c>
      <c r="E10" s="210" t="s">
        <v>15</v>
      </c>
      <c r="F10" s="211">
        <f t="shared" ref="F10:Q10" si="0">F24+F97+F192+F209+F238+F245+F249+F319+F340+F350+F374+F377+F384+F390+F419+F434+F438+F442+F446+F466+F474+F484</f>
        <v>66157519.030599996</v>
      </c>
      <c r="G10" s="211">
        <f t="shared" si="0"/>
        <v>11291515.786289999</v>
      </c>
      <c r="H10" s="211">
        <f t="shared" si="0"/>
        <v>663306.5268718116</v>
      </c>
      <c r="I10" s="211">
        <f t="shared" si="0"/>
        <v>3995246.3870999999</v>
      </c>
      <c r="J10" s="211">
        <f t="shared" si="0"/>
        <v>62894732.324119985</v>
      </c>
      <c r="K10" s="211">
        <f t="shared" si="0"/>
        <v>11244130.984759998</v>
      </c>
      <c r="L10" s="211">
        <f t="shared" si="0"/>
        <v>544178.55116034776</v>
      </c>
      <c r="M10" s="211">
        <f t="shared" si="0"/>
        <v>3094832.6900000004</v>
      </c>
      <c r="N10" s="211">
        <f t="shared" si="0"/>
        <v>31083211.797499999</v>
      </c>
      <c r="O10" s="211">
        <f t="shared" si="0"/>
        <v>6298445.8024999993</v>
      </c>
      <c r="P10" s="211">
        <f t="shared" si="0"/>
        <v>230472.68837209302</v>
      </c>
      <c r="Q10" s="211">
        <f t="shared" si="0"/>
        <v>2845858.88</v>
      </c>
      <c r="R10" s="210" t="s">
        <v>15</v>
      </c>
      <c r="S10" s="210" t="s">
        <v>15</v>
      </c>
      <c r="T10" s="210" t="s">
        <v>15</v>
      </c>
      <c r="U10" s="210" t="s">
        <v>15</v>
      </c>
      <c r="V10" s="210" t="s">
        <v>15</v>
      </c>
      <c r="W10" s="210" t="s">
        <v>15</v>
      </c>
      <c r="X10" s="210" t="s">
        <v>15</v>
      </c>
      <c r="Y10" s="210" t="s">
        <v>15</v>
      </c>
      <c r="Z10" s="210" t="s">
        <v>15</v>
      </c>
      <c r="AA10" s="210" t="s">
        <v>15</v>
      </c>
      <c r="AB10" s="210" t="s">
        <v>15</v>
      </c>
      <c r="AC10" s="210" t="s">
        <v>15</v>
      </c>
    </row>
    <row r="11" spans="1:29" s="133" customFormat="1" ht="18.75" hidden="1" x14ac:dyDescent="0.3">
      <c r="A11" s="139"/>
      <c r="B11" s="209" t="s">
        <v>739</v>
      </c>
      <c r="C11" s="210" t="s">
        <v>15</v>
      </c>
      <c r="D11" s="210" t="s">
        <v>15</v>
      </c>
      <c r="E11" s="210" t="s">
        <v>15</v>
      </c>
      <c r="F11" s="211">
        <f>SUM(F12:F23)</f>
        <v>24997494.746349998</v>
      </c>
      <c r="G11" s="211">
        <f t="shared" ref="G11:Q11" si="1">SUM(G12:G23)</f>
        <v>2887804.476830001</v>
      </c>
      <c r="H11" s="211">
        <f t="shared" si="1"/>
        <v>158160.47801181153</v>
      </c>
      <c r="I11" s="211">
        <f t="shared" si="1"/>
        <v>154560</v>
      </c>
      <c r="J11" s="211">
        <f t="shared" si="1"/>
        <v>27924615.696250003</v>
      </c>
      <c r="K11" s="211">
        <f t="shared" si="1"/>
        <v>3530966.4514099997</v>
      </c>
      <c r="L11" s="211">
        <f t="shared" si="1"/>
        <v>294305.02278825472</v>
      </c>
      <c r="M11" s="211">
        <f t="shared" si="1"/>
        <v>69390</v>
      </c>
      <c r="N11" s="211">
        <f t="shared" si="1"/>
        <v>13150019.6875</v>
      </c>
      <c r="O11" s="211">
        <f t="shared" si="1"/>
        <v>1160315.3325</v>
      </c>
      <c r="P11" s="211">
        <f t="shared" si="1"/>
        <v>0</v>
      </c>
      <c r="Q11" s="211">
        <f t="shared" si="1"/>
        <v>20000</v>
      </c>
      <c r="R11" s="210" t="s">
        <v>15</v>
      </c>
      <c r="S11" s="210" t="s">
        <v>15</v>
      </c>
      <c r="T11" s="210" t="s">
        <v>15</v>
      </c>
      <c r="U11" s="210" t="s">
        <v>15</v>
      </c>
      <c r="V11" s="210" t="s">
        <v>15</v>
      </c>
      <c r="W11" s="210" t="s">
        <v>15</v>
      </c>
      <c r="X11" s="210" t="s">
        <v>15</v>
      </c>
      <c r="Y11" s="210" t="s">
        <v>15</v>
      </c>
      <c r="Z11" s="210" t="s">
        <v>15</v>
      </c>
      <c r="AA11" s="210" t="s">
        <v>15</v>
      </c>
      <c r="AB11" s="210" t="s">
        <v>15</v>
      </c>
      <c r="AC11" s="210" t="s">
        <v>15</v>
      </c>
    </row>
    <row r="12" spans="1:29" s="133" customFormat="1" ht="31.5" hidden="1" x14ac:dyDescent="0.3">
      <c r="A12" s="139" t="s">
        <v>2</v>
      </c>
      <c r="B12" s="136" t="s">
        <v>90</v>
      </c>
      <c r="C12" s="210" t="s">
        <v>15</v>
      </c>
      <c r="D12" s="210" t="s">
        <v>15</v>
      </c>
      <c r="E12" s="210" t="s">
        <v>15</v>
      </c>
      <c r="F12" s="211">
        <f>F25</f>
        <v>2483190.7889999989</v>
      </c>
      <c r="G12" s="211">
        <f t="shared" ref="G12:Q12" si="2">G25</f>
        <v>261852.01100000009</v>
      </c>
      <c r="H12" s="211">
        <f t="shared" si="2"/>
        <v>0</v>
      </c>
      <c r="I12" s="211">
        <f t="shared" si="2"/>
        <v>0</v>
      </c>
      <c r="J12" s="211">
        <f t="shared" si="2"/>
        <v>2670565.5999999996</v>
      </c>
      <c r="K12" s="211">
        <f t="shared" si="2"/>
        <v>254290.4</v>
      </c>
      <c r="L12" s="211">
        <f t="shared" si="2"/>
        <v>0</v>
      </c>
      <c r="M12" s="211">
        <f t="shared" si="2"/>
        <v>0</v>
      </c>
      <c r="N12" s="211">
        <f t="shared" si="2"/>
        <v>2876425.5999999996</v>
      </c>
      <c r="O12" s="211">
        <f t="shared" si="2"/>
        <v>158247.79999999999</v>
      </c>
      <c r="P12" s="211">
        <f t="shared" si="2"/>
        <v>0</v>
      </c>
      <c r="Q12" s="211">
        <f t="shared" si="2"/>
        <v>0</v>
      </c>
      <c r="R12" s="210" t="s">
        <v>15</v>
      </c>
      <c r="S12" s="210" t="s">
        <v>15</v>
      </c>
      <c r="T12" s="210" t="s">
        <v>15</v>
      </c>
      <c r="U12" s="210" t="s">
        <v>15</v>
      </c>
      <c r="V12" s="210" t="s">
        <v>15</v>
      </c>
      <c r="W12" s="210" t="s">
        <v>15</v>
      </c>
      <c r="X12" s="210" t="s">
        <v>15</v>
      </c>
      <c r="Y12" s="210" t="s">
        <v>15</v>
      </c>
      <c r="Z12" s="210" t="s">
        <v>15</v>
      </c>
      <c r="AA12" s="210" t="s">
        <v>15</v>
      </c>
      <c r="AB12" s="210" t="s">
        <v>15</v>
      </c>
      <c r="AC12" s="210" t="s">
        <v>15</v>
      </c>
    </row>
    <row r="13" spans="1:29" s="133" customFormat="1" ht="18.75" hidden="1" x14ac:dyDescent="0.3">
      <c r="A13" s="139" t="s">
        <v>29</v>
      </c>
      <c r="B13" s="136" t="s">
        <v>91</v>
      </c>
      <c r="C13" s="210" t="s">
        <v>15</v>
      </c>
      <c r="D13" s="210" t="s">
        <v>15</v>
      </c>
      <c r="E13" s="210" t="s">
        <v>15</v>
      </c>
      <c r="F13" s="211">
        <f t="shared" ref="F13:Q13" si="3">F71+F133+F193+F239+F341</f>
        <v>6571063.8000000007</v>
      </c>
      <c r="G13" s="211">
        <f t="shared" si="3"/>
        <v>825832.39599999995</v>
      </c>
      <c r="H13" s="211">
        <f t="shared" si="3"/>
        <v>622.29999999999995</v>
      </c>
      <c r="I13" s="211">
        <f t="shared" si="3"/>
        <v>0</v>
      </c>
      <c r="J13" s="211">
        <f t="shared" si="3"/>
        <v>6467217.8000000007</v>
      </c>
      <c r="K13" s="211">
        <f t="shared" si="3"/>
        <v>821445</v>
      </c>
      <c r="L13" s="211">
        <f t="shared" si="3"/>
        <v>0</v>
      </c>
      <c r="M13" s="211">
        <f t="shared" si="3"/>
        <v>0</v>
      </c>
      <c r="N13" s="211">
        <f t="shared" si="3"/>
        <v>6694829.2000000002</v>
      </c>
      <c r="O13" s="211">
        <f t="shared" si="3"/>
        <v>819630.9</v>
      </c>
      <c r="P13" s="211">
        <f t="shared" si="3"/>
        <v>0</v>
      </c>
      <c r="Q13" s="211">
        <f t="shared" si="3"/>
        <v>0</v>
      </c>
      <c r="R13" s="210" t="s">
        <v>15</v>
      </c>
      <c r="S13" s="210" t="s">
        <v>15</v>
      </c>
      <c r="T13" s="210" t="s">
        <v>15</v>
      </c>
      <c r="U13" s="210" t="s">
        <v>15</v>
      </c>
      <c r="V13" s="210" t="s">
        <v>15</v>
      </c>
      <c r="W13" s="210" t="s">
        <v>15</v>
      </c>
      <c r="X13" s="210" t="s">
        <v>15</v>
      </c>
      <c r="Y13" s="210" t="s">
        <v>15</v>
      </c>
      <c r="Z13" s="210" t="s">
        <v>15</v>
      </c>
      <c r="AA13" s="210" t="s">
        <v>15</v>
      </c>
      <c r="AB13" s="210" t="s">
        <v>15</v>
      </c>
      <c r="AC13" s="210" t="s">
        <v>15</v>
      </c>
    </row>
    <row r="14" spans="1:29" s="133" customFormat="1" ht="18.75" hidden="1" x14ac:dyDescent="0.3">
      <c r="A14" s="139" t="s">
        <v>5</v>
      </c>
      <c r="B14" s="136" t="s">
        <v>111</v>
      </c>
      <c r="C14" s="210" t="s">
        <v>15</v>
      </c>
      <c r="D14" s="210" t="s">
        <v>15</v>
      </c>
      <c r="E14" s="210" t="s">
        <v>15</v>
      </c>
      <c r="F14" s="211">
        <f>F98</f>
        <v>2595630.7948500002</v>
      </c>
      <c r="G14" s="211">
        <f t="shared" ref="G14:Q14" si="4">G98</f>
        <v>490636.73999999993</v>
      </c>
      <c r="H14" s="211">
        <f t="shared" si="4"/>
        <v>103938.52691999999</v>
      </c>
      <c r="I14" s="211">
        <f t="shared" si="4"/>
        <v>88700</v>
      </c>
      <c r="J14" s="211">
        <f t="shared" si="4"/>
        <v>4307330.2</v>
      </c>
      <c r="K14" s="211">
        <f t="shared" si="4"/>
        <v>843089.50000000012</v>
      </c>
      <c r="L14" s="211">
        <f t="shared" si="4"/>
        <v>201151.74899999998</v>
      </c>
      <c r="M14" s="211">
        <f t="shared" si="4"/>
        <v>0</v>
      </c>
      <c r="N14" s="211">
        <f t="shared" si="4"/>
        <v>201600</v>
      </c>
      <c r="O14" s="211">
        <f t="shared" si="4"/>
        <v>8400</v>
      </c>
      <c r="P14" s="211">
        <f t="shared" si="4"/>
        <v>0</v>
      </c>
      <c r="Q14" s="211">
        <f t="shared" si="4"/>
        <v>20000</v>
      </c>
      <c r="R14" s="210" t="s">
        <v>15</v>
      </c>
      <c r="S14" s="210" t="s">
        <v>15</v>
      </c>
      <c r="T14" s="210" t="s">
        <v>15</v>
      </c>
      <c r="U14" s="210" t="s">
        <v>15</v>
      </c>
      <c r="V14" s="210" t="s">
        <v>15</v>
      </c>
      <c r="W14" s="210" t="s">
        <v>15</v>
      </c>
      <c r="X14" s="210" t="s">
        <v>15</v>
      </c>
      <c r="Y14" s="210" t="s">
        <v>15</v>
      </c>
      <c r="Z14" s="210" t="s">
        <v>15</v>
      </c>
      <c r="AA14" s="210" t="s">
        <v>15</v>
      </c>
      <c r="AB14" s="210" t="s">
        <v>15</v>
      </c>
      <c r="AC14" s="210" t="s">
        <v>15</v>
      </c>
    </row>
    <row r="15" spans="1:29" s="133" customFormat="1" ht="31.5" hidden="1" x14ac:dyDescent="0.3">
      <c r="A15" s="139" t="s">
        <v>681</v>
      </c>
      <c r="B15" s="137" t="s">
        <v>114</v>
      </c>
      <c r="C15" s="210" t="s">
        <v>15</v>
      </c>
      <c r="D15" s="210" t="s">
        <v>15</v>
      </c>
      <c r="E15" s="210" t="s">
        <v>15</v>
      </c>
      <c r="F15" s="211">
        <f>F210</f>
        <v>3051740.9</v>
      </c>
      <c r="G15" s="211">
        <f t="shared" ref="G15:Q15" si="5">G210</f>
        <v>309180.5</v>
      </c>
      <c r="H15" s="211">
        <f t="shared" si="5"/>
        <v>48140.021091811366</v>
      </c>
      <c r="I15" s="211">
        <f t="shared" si="5"/>
        <v>0</v>
      </c>
      <c r="J15" s="211">
        <f t="shared" si="5"/>
        <v>1762143.8</v>
      </c>
      <c r="K15" s="211">
        <f t="shared" si="5"/>
        <v>257700</v>
      </c>
      <c r="L15" s="211">
        <f t="shared" si="5"/>
        <v>48506.583788254749</v>
      </c>
      <c r="M15" s="211">
        <f t="shared" si="5"/>
        <v>0</v>
      </c>
      <c r="N15" s="211">
        <f t="shared" si="5"/>
        <v>0</v>
      </c>
      <c r="O15" s="211">
        <f t="shared" si="5"/>
        <v>0</v>
      </c>
      <c r="P15" s="211">
        <f t="shared" si="5"/>
        <v>0</v>
      </c>
      <c r="Q15" s="211">
        <f t="shared" si="5"/>
        <v>0</v>
      </c>
      <c r="R15" s="210" t="s">
        <v>15</v>
      </c>
      <c r="S15" s="210" t="s">
        <v>15</v>
      </c>
      <c r="T15" s="210" t="s">
        <v>15</v>
      </c>
      <c r="U15" s="210" t="s">
        <v>15</v>
      </c>
      <c r="V15" s="210" t="s">
        <v>15</v>
      </c>
      <c r="W15" s="210" t="s">
        <v>15</v>
      </c>
      <c r="X15" s="210" t="s">
        <v>15</v>
      </c>
      <c r="Y15" s="210" t="s">
        <v>15</v>
      </c>
      <c r="Z15" s="210" t="s">
        <v>15</v>
      </c>
      <c r="AA15" s="210" t="s">
        <v>15</v>
      </c>
      <c r="AB15" s="210" t="s">
        <v>15</v>
      </c>
      <c r="AC15" s="210" t="s">
        <v>15</v>
      </c>
    </row>
    <row r="16" spans="1:29" s="133" customFormat="1" ht="18.75" hidden="1" x14ac:dyDescent="0.3">
      <c r="A16" s="139" t="s">
        <v>742</v>
      </c>
      <c r="B16" s="137" t="s">
        <v>225</v>
      </c>
      <c r="C16" s="210" t="s">
        <v>15</v>
      </c>
      <c r="D16" s="210" t="s">
        <v>15</v>
      </c>
      <c r="E16" s="210" t="s">
        <v>15</v>
      </c>
      <c r="F16" s="211">
        <f>F250</f>
        <v>2172093.4125000001</v>
      </c>
      <c r="G16" s="211">
        <f t="shared" ref="G16:Q16" si="6">G250</f>
        <v>755427.18650000007</v>
      </c>
      <c r="H16" s="211">
        <f t="shared" si="6"/>
        <v>0</v>
      </c>
      <c r="I16" s="211">
        <f t="shared" si="6"/>
        <v>0</v>
      </c>
      <c r="J16" s="211">
        <f t="shared" si="6"/>
        <v>2792898.5862500002</v>
      </c>
      <c r="K16" s="211">
        <f t="shared" si="6"/>
        <v>901069.64124999999</v>
      </c>
      <c r="L16" s="211">
        <f t="shared" si="6"/>
        <v>2800</v>
      </c>
      <c r="M16" s="211">
        <f t="shared" si="6"/>
        <v>0</v>
      </c>
      <c r="N16" s="211">
        <f t="shared" si="6"/>
        <v>1358888.0974999999</v>
      </c>
      <c r="O16" s="211">
        <f t="shared" si="6"/>
        <v>174036.63250000001</v>
      </c>
      <c r="P16" s="211">
        <f t="shared" si="6"/>
        <v>0</v>
      </c>
      <c r="Q16" s="211">
        <f t="shared" si="6"/>
        <v>0</v>
      </c>
      <c r="R16" s="210" t="s">
        <v>15</v>
      </c>
      <c r="S16" s="210" t="s">
        <v>15</v>
      </c>
      <c r="T16" s="210" t="s">
        <v>15</v>
      </c>
      <c r="U16" s="210" t="s">
        <v>15</v>
      </c>
      <c r="V16" s="210" t="s">
        <v>15</v>
      </c>
      <c r="W16" s="210" t="s">
        <v>15</v>
      </c>
      <c r="X16" s="210" t="s">
        <v>15</v>
      </c>
      <c r="Y16" s="210" t="s">
        <v>15</v>
      </c>
      <c r="Z16" s="210" t="s">
        <v>15</v>
      </c>
      <c r="AA16" s="210" t="s">
        <v>15</v>
      </c>
      <c r="AB16" s="210" t="s">
        <v>15</v>
      </c>
      <c r="AC16" s="210" t="s">
        <v>15</v>
      </c>
    </row>
    <row r="17" spans="1:29" s="133" customFormat="1" ht="18.75" hidden="1" x14ac:dyDescent="0.3">
      <c r="A17" s="139" t="s">
        <v>743</v>
      </c>
      <c r="B17" s="137" t="s">
        <v>121</v>
      </c>
      <c r="C17" s="210" t="s">
        <v>15</v>
      </c>
      <c r="D17" s="210" t="s">
        <v>15</v>
      </c>
      <c r="E17" s="210" t="s">
        <v>15</v>
      </c>
      <c r="F17" s="211">
        <f t="shared" ref="F17:Q17" si="7">F320+F475</f>
        <v>3310093.75</v>
      </c>
      <c r="G17" s="211">
        <f t="shared" si="7"/>
        <v>49351.869999999915</v>
      </c>
      <c r="H17" s="211">
        <f t="shared" si="7"/>
        <v>1959.630000000172</v>
      </c>
      <c r="I17" s="211">
        <f t="shared" si="7"/>
        <v>0</v>
      </c>
      <c r="J17" s="211">
        <f t="shared" si="7"/>
        <v>2241301.9099999997</v>
      </c>
      <c r="K17" s="211">
        <f t="shared" si="7"/>
        <v>138285.33000000002</v>
      </c>
      <c r="L17" s="211">
        <f t="shared" si="7"/>
        <v>38346.69</v>
      </c>
      <c r="M17" s="211">
        <f t="shared" si="7"/>
        <v>0</v>
      </c>
      <c r="N17" s="211">
        <f t="shared" si="7"/>
        <v>2018276.79</v>
      </c>
      <c r="O17" s="211">
        <f t="shared" si="7"/>
        <v>0</v>
      </c>
      <c r="P17" s="211">
        <f t="shared" si="7"/>
        <v>0</v>
      </c>
      <c r="Q17" s="211">
        <f t="shared" si="7"/>
        <v>0</v>
      </c>
      <c r="R17" s="210" t="s">
        <v>15</v>
      </c>
      <c r="S17" s="210" t="s">
        <v>15</v>
      </c>
      <c r="T17" s="210" t="s">
        <v>15</v>
      </c>
      <c r="U17" s="210" t="s">
        <v>15</v>
      </c>
      <c r="V17" s="210" t="s">
        <v>15</v>
      </c>
      <c r="W17" s="210" t="s">
        <v>15</v>
      </c>
      <c r="X17" s="210" t="s">
        <v>15</v>
      </c>
      <c r="Y17" s="210" t="s">
        <v>15</v>
      </c>
      <c r="Z17" s="210" t="s">
        <v>15</v>
      </c>
      <c r="AA17" s="210" t="s">
        <v>15</v>
      </c>
      <c r="AB17" s="210" t="s">
        <v>15</v>
      </c>
      <c r="AC17" s="210" t="s">
        <v>15</v>
      </c>
    </row>
    <row r="18" spans="1:29" s="133" customFormat="1" ht="72" hidden="1" customHeight="1" x14ac:dyDescent="0.3">
      <c r="A18" s="139" t="s">
        <v>744</v>
      </c>
      <c r="B18" s="137" t="s">
        <v>140</v>
      </c>
      <c r="C18" s="210" t="s">
        <v>15</v>
      </c>
      <c r="D18" s="210" t="s">
        <v>15</v>
      </c>
      <c r="E18" s="210" t="s">
        <v>15</v>
      </c>
      <c r="F18" s="211">
        <f t="shared" ref="F18:Q18" si="8">F351+F391</f>
        <v>250913.2</v>
      </c>
      <c r="G18" s="211">
        <f t="shared" si="8"/>
        <v>10454.6</v>
      </c>
      <c r="H18" s="211">
        <f t="shared" si="8"/>
        <v>0</v>
      </c>
      <c r="I18" s="211">
        <f t="shared" si="8"/>
        <v>0</v>
      </c>
      <c r="J18" s="211">
        <f t="shared" si="8"/>
        <v>280584.59999999998</v>
      </c>
      <c r="K18" s="211">
        <f t="shared" si="8"/>
        <v>11690.95099999999</v>
      </c>
      <c r="L18" s="211">
        <f t="shared" si="8"/>
        <v>0</v>
      </c>
      <c r="M18" s="211">
        <f t="shared" si="8"/>
        <v>0</v>
      </c>
      <c r="N18" s="211">
        <f t="shared" si="8"/>
        <v>0</v>
      </c>
      <c r="O18" s="211">
        <f t="shared" si="8"/>
        <v>0</v>
      </c>
      <c r="P18" s="211">
        <f t="shared" si="8"/>
        <v>0</v>
      </c>
      <c r="Q18" s="211">
        <f t="shared" si="8"/>
        <v>0</v>
      </c>
      <c r="R18" s="210" t="s">
        <v>15</v>
      </c>
      <c r="S18" s="210" t="s">
        <v>15</v>
      </c>
      <c r="T18" s="210" t="s">
        <v>15</v>
      </c>
      <c r="U18" s="210" t="s">
        <v>15</v>
      </c>
      <c r="V18" s="210" t="s">
        <v>15</v>
      </c>
      <c r="W18" s="210" t="s">
        <v>15</v>
      </c>
      <c r="X18" s="210" t="s">
        <v>15</v>
      </c>
      <c r="Y18" s="210" t="s">
        <v>15</v>
      </c>
      <c r="Z18" s="210" t="s">
        <v>15</v>
      </c>
      <c r="AA18" s="210" t="s">
        <v>15</v>
      </c>
      <c r="AB18" s="210" t="s">
        <v>15</v>
      </c>
      <c r="AC18" s="210" t="s">
        <v>15</v>
      </c>
    </row>
    <row r="19" spans="1:29" s="133" customFormat="1" ht="36" hidden="1" customHeight="1" x14ac:dyDescent="0.3">
      <c r="A19" s="139" t="s">
        <v>745</v>
      </c>
      <c r="B19" s="137" t="s">
        <v>141</v>
      </c>
      <c r="C19" s="210" t="s">
        <v>15</v>
      </c>
      <c r="D19" s="210" t="s">
        <v>15</v>
      </c>
      <c r="E19" s="210" t="s">
        <v>15</v>
      </c>
      <c r="F19" s="211">
        <f>F366</f>
        <v>52008.9</v>
      </c>
      <c r="G19" s="211">
        <f t="shared" ref="G19:Q19" si="9">G366</f>
        <v>620.70000000000005</v>
      </c>
      <c r="H19" s="211">
        <f t="shared" si="9"/>
        <v>0</v>
      </c>
      <c r="I19" s="211">
        <f t="shared" si="9"/>
        <v>0</v>
      </c>
      <c r="J19" s="211">
        <f t="shared" si="9"/>
        <v>51987.1</v>
      </c>
      <c r="K19" s="211">
        <f t="shared" si="9"/>
        <v>620.70000000000005</v>
      </c>
      <c r="L19" s="211">
        <f t="shared" si="9"/>
        <v>0</v>
      </c>
      <c r="M19" s="211">
        <f t="shared" si="9"/>
        <v>0</v>
      </c>
      <c r="N19" s="211">
        <f t="shared" si="9"/>
        <v>0</v>
      </c>
      <c r="O19" s="211">
        <f t="shared" si="9"/>
        <v>0</v>
      </c>
      <c r="P19" s="211">
        <f t="shared" si="9"/>
        <v>0</v>
      </c>
      <c r="Q19" s="211">
        <f t="shared" si="9"/>
        <v>0</v>
      </c>
      <c r="R19" s="210" t="s">
        <v>15</v>
      </c>
      <c r="S19" s="210" t="s">
        <v>15</v>
      </c>
      <c r="T19" s="210" t="s">
        <v>15</v>
      </c>
      <c r="U19" s="210" t="s">
        <v>15</v>
      </c>
      <c r="V19" s="210" t="s">
        <v>15</v>
      </c>
      <c r="W19" s="210" t="s">
        <v>15</v>
      </c>
      <c r="X19" s="210" t="s">
        <v>15</v>
      </c>
      <c r="Y19" s="210" t="s">
        <v>15</v>
      </c>
      <c r="Z19" s="210" t="s">
        <v>15</v>
      </c>
      <c r="AA19" s="210" t="s">
        <v>15</v>
      </c>
      <c r="AB19" s="210" t="s">
        <v>15</v>
      </c>
      <c r="AC19" s="210" t="s">
        <v>15</v>
      </c>
    </row>
    <row r="20" spans="1:29" s="133" customFormat="1" ht="47.25" hidden="1" x14ac:dyDescent="0.3">
      <c r="A20" s="139" t="s">
        <v>746</v>
      </c>
      <c r="B20" s="138" t="s">
        <v>99</v>
      </c>
      <c r="C20" s="210" t="s">
        <v>15</v>
      </c>
      <c r="D20" s="210" t="s">
        <v>15</v>
      </c>
      <c r="E20" s="210" t="s">
        <v>15</v>
      </c>
      <c r="F20" s="211">
        <f>F378</f>
        <v>187767</v>
      </c>
      <c r="G20" s="211">
        <f t="shared" ref="G20:Q20" si="10">G378</f>
        <v>7823.7000000000007</v>
      </c>
      <c r="H20" s="211">
        <f t="shared" si="10"/>
        <v>0</v>
      </c>
      <c r="I20" s="211">
        <f t="shared" si="10"/>
        <v>0</v>
      </c>
      <c r="J20" s="211">
        <f t="shared" si="10"/>
        <v>780403.5</v>
      </c>
      <c r="K20" s="211">
        <f t="shared" si="10"/>
        <v>32516.899999999998</v>
      </c>
      <c r="L20" s="211">
        <f t="shared" si="10"/>
        <v>0</v>
      </c>
      <c r="M20" s="211">
        <f t="shared" si="10"/>
        <v>0</v>
      </c>
      <c r="N20" s="211">
        <f t="shared" si="10"/>
        <v>0</v>
      </c>
      <c r="O20" s="211">
        <f t="shared" si="10"/>
        <v>0</v>
      </c>
      <c r="P20" s="211">
        <f t="shared" si="10"/>
        <v>0</v>
      </c>
      <c r="Q20" s="211">
        <f t="shared" si="10"/>
        <v>0</v>
      </c>
      <c r="R20" s="210" t="s">
        <v>15</v>
      </c>
      <c r="S20" s="210" t="s">
        <v>15</v>
      </c>
      <c r="T20" s="210" t="s">
        <v>15</v>
      </c>
      <c r="U20" s="210" t="s">
        <v>15</v>
      </c>
      <c r="V20" s="210" t="s">
        <v>15</v>
      </c>
      <c r="W20" s="210" t="s">
        <v>15</v>
      </c>
      <c r="X20" s="210" t="s">
        <v>15</v>
      </c>
      <c r="Y20" s="210" t="s">
        <v>15</v>
      </c>
      <c r="Z20" s="210" t="s">
        <v>15</v>
      </c>
      <c r="AA20" s="210" t="s">
        <v>15</v>
      </c>
      <c r="AB20" s="210" t="s">
        <v>15</v>
      </c>
      <c r="AC20" s="210" t="s">
        <v>15</v>
      </c>
    </row>
    <row r="21" spans="1:29" s="133" customFormat="1" ht="31.5" hidden="1" x14ac:dyDescent="0.3">
      <c r="A21" s="139" t="s">
        <v>747</v>
      </c>
      <c r="B21" s="137" t="s">
        <v>198</v>
      </c>
      <c r="C21" s="210" t="s">
        <v>15</v>
      </c>
      <c r="D21" s="210" t="s">
        <v>15</v>
      </c>
      <c r="E21" s="210" t="s">
        <v>15</v>
      </c>
      <c r="F21" s="211">
        <f>F385</f>
        <v>3415629.2</v>
      </c>
      <c r="G21" s="211">
        <f t="shared" ref="G21:Q21" si="11">G385</f>
        <v>142317.88333000001</v>
      </c>
      <c r="H21" s="211">
        <f t="shared" si="11"/>
        <v>0</v>
      </c>
      <c r="I21" s="211">
        <f t="shared" si="11"/>
        <v>0</v>
      </c>
      <c r="J21" s="211">
        <f t="shared" si="11"/>
        <v>4996669.9000000004</v>
      </c>
      <c r="K21" s="211">
        <f t="shared" si="11"/>
        <v>208194.57915999999</v>
      </c>
      <c r="L21" s="211">
        <f t="shared" si="11"/>
        <v>0</v>
      </c>
      <c r="M21" s="211">
        <f t="shared" si="11"/>
        <v>0</v>
      </c>
      <c r="N21" s="211">
        <f t="shared" si="11"/>
        <v>0</v>
      </c>
      <c r="O21" s="211">
        <f t="shared" si="11"/>
        <v>0</v>
      </c>
      <c r="P21" s="211">
        <f t="shared" si="11"/>
        <v>0</v>
      </c>
      <c r="Q21" s="211">
        <f t="shared" si="11"/>
        <v>0</v>
      </c>
      <c r="R21" s="210" t="s">
        <v>15</v>
      </c>
      <c r="S21" s="210" t="s">
        <v>15</v>
      </c>
      <c r="T21" s="210" t="s">
        <v>15</v>
      </c>
      <c r="U21" s="210" t="s">
        <v>15</v>
      </c>
      <c r="V21" s="210" t="s">
        <v>15</v>
      </c>
      <c r="W21" s="210" t="s">
        <v>15</v>
      </c>
      <c r="X21" s="210" t="s">
        <v>15</v>
      </c>
      <c r="Y21" s="210" t="s">
        <v>15</v>
      </c>
      <c r="Z21" s="210" t="s">
        <v>15</v>
      </c>
      <c r="AA21" s="210" t="s">
        <v>15</v>
      </c>
      <c r="AB21" s="210" t="s">
        <v>15</v>
      </c>
      <c r="AC21" s="210" t="s">
        <v>15</v>
      </c>
    </row>
    <row r="22" spans="1:29" s="133" customFormat="1" ht="47.25" hidden="1" x14ac:dyDescent="0.3">
      <c r="A22" s="139" t="s">
        <v>748</v>
      </c>
      <c r="B22" s="137" t="s">
        <v>205</v>
      </c>
      <c r="C22" s="210" t="s">
        <v>15</v>
      </c>
      <c r="D22" s="210" t="s">
        <v>15</v>
      </c>
      <c r="E22" s="210" t="s">
        <v>15</v>
      </c>
      <c r="F22" s="211">
        <f>F415</f>
        <v>435299.2</v>
      </c>
      <c r="G22" s="211">
        <f t="shared" ref="G22:Q22" si="12">G415</f>
        <v>18137.520000000022</v>
      </c>
      <c r="H22" s="211">
        <f t="shared" si="12"/>
        <v>0</v>
      </c>
      <c r="I22" s="211">
        <f t="shared" si="12"/>
        <v>0</v>
      </c>
      <c r="J22" s="211">
        <f t="shared" si="12"/>
        <v>424097</v>
      </c>
      <c r="K22" s="211">
        <f t="shared" si="12"/>
        <v>17670.799999999988</v>
      </c>
      <c r="L22" s="211">
        <f t="shared" si="12"/>
        <v>0</v>
      </c>
      <c r="M22" s="211">
        <f t="shared" si="12"/>
        <v>0</v>
      </c>
      <c r="N22" s="211">
        <f t="shared" si="12"/>
        <v>0</v>
      </c>
      <c r="O22" s="211">
        <f t="shared" si="12"/>
        <v>0</v>
      </c>
      <c r="P22" s="211">
        <f t="shared" si="12"/>
        <v>0</v>
      </c>
      <c r="Q22" s="211">
        <f t="shared" si="12"/>
        <v>0</v>
      </c>
      <c r="R22" s="210" t="s">
        <v>15</v>
      </c>
      <c r="S22" s="210" t="s">
        <v>15</v>
      </c>
      <c r="T22" s="210" t="s">
        <v>15</v>
      </c>
      <c r="U22" s="210" t="s">
        <v>15</v>
      </c>
      <c r="V22" s="210" t="s">
        <v>15</v>
      </c>
      <c r="W22" s="210" t="s">
        <v>15</v>
      </c>
      <c r="X22" s="210" t="s">
        <v>15</v>
      </c>
      <c r="Y22" s="210" t="s">
        <v>15</v>
      </c>
      <c r="Z22" s="210" t="s">
        <v>15</v>
      </c>
      <c r="AA22" s="210" t="s">
        <v>15</v>
      </c>
      <c r="AB22" s="210" t="s">
        <v>15</v>
      </c>
      <c r="AC22" s="210" t="s">
        <v>15</v>
      </c>
    </row>
    <row r="23" spans="1:29" s="133" customFormat="1" ht="31.5" hidden="1" x14ac:dyDescent="0.3">
      <c r="A23" s="139" t="s">
        <v>749</v>
      </c>
      <c r="B23" s="137" t="s">
        <v>128</v>
      </c>
      <c r="C23" s="210" t="s">
        <v>15</v>
      </c>
      <c r="D23" s="210" t="s">
        <v>15</v>
      </c>
      <c r="E23" s="210" t="s">
        <v>15</v>
      </c>
      <c r="F23" s="211">
        <f>F467</f>
        <v>472063.8</v>
      </c>
      <c r="G23" s="211">
        <f t="shared" ref="G23:Q23" si="13">G467</f>
        <v>16169.369999999999</v>
      </c>
      <c r="H23" s="211">
        <f t="shared" si="13"/>
        <v>3500</v>
      </c>
      <c r="I23" s="211">
        <f t="shared" si="13"/>
        <v>65860</v>
      </c>
      <c r="J23" s="211">
        <f t="shared" si="13"/>
        <v>1149415.7</v>
      </c>
      <c r="K23" s="211">
        <f t="shared" si="13"/>
        <v>44392.65</v>
      </c>
      <c r="L23" s="211">
        <f t="shared" si="13"/>
        <v>3500</v>
      </c>
      <c r="M23" s="211">
        <f t="shared" si="13"/>
        <v>69390</v>
      </c>
      <c r="N23" s="211">
        <f t="shared" si="13"/>
        <v>0</v>
      </c>
      <c r="O23" s="211">
        <f t="shared" si="13"/>
        <v>0</v>
      </c>
      <c r="P23" s="211">
        <f t="shared" si="13"/>
        <v>0</v>
      </c>
      <c r="Q23" s="211">
        <f t="shared" si="13"/>
        <v>0</v>
      </c>
      <c r="R23" s="210" t="s">
        <v>15</v>
      </c>
      <c r="S23" s="210" t="s">
        <v>15</v>
      </c>
      <c r="T23" s="210" t="s">
        <v>15</v>
      </c>
      <c r="U23" s="210" t="s">
        <v>15</v>
      </c>
      <c r="V23" s="210" t="s">
        <v>15</v>
      </c>
      <c r="W23" s="210" t="s">
        <v>15</v>
      </c>
      <c r="X23" s="210" t="s">
        <v>15</v>
      </c>
      <c r="Y23" s="210" t="s">
        <v>15</v>
      </c>
      <c r="Z23" s="210" t="s">
        <v>15</v>
      </c>
      <c r="AA23" s="210" t="s">
        <v>15</v>
      </c>
      <c r="AB23" s="210" t="s">
        <v>15</v>
      </c>
      <c r="AC23" s="210" t="s">
        <v>15</v>
      </c>
    </row>
    <row r="24" spans="1:29" s="48" customFormat="1" ht="59.25" customHeight="1" x14ac:dyDescent="0.3">
      <c r="A24" s="24" t="s">
        <v>1</v>
      </c>
      <c r="B24" s="33" t="s">
        <v>71</v>
      </c>
      <c r="C24" s="24" t="s">
        <v>15</v>
      </c>
      <c r="D24" s="24" t="s">
        <v>15</v>
      </c>
      <c r="E24" s="24" t="s">
        <v>15</v>
      </c>
      <c r="F24" s="26">
        <f>F25+F71+F74</f>
        <v>4979254.3889999986</v>
      </c>
      <c r="G24" s="26">
        <f t="shared" ref="G24:Q24" si="14">G25+G71+G74</f>
        <v>1564022.1110000003</v>
      </c>
      <c r="H24" s="26">
        <f t="shared" si="14"/>
        <v>0</v>
      </c>
      <c r="I24" s="26">
        <f t="shared" si="14"/>
        <v>0</v>
      </c>
      <c r="J24" s="26">
        <f t="shared" si="14"/>
        <v>5250713.8999999994</v>
      </c>
      <c r="K24" s="26">
        <f t="shared" si="14"/>
        <v>1577731.2</v>
      </c>
      <c r="L24" s="26">
        <f t="shared" si="14"/>
        <v>0</v>
      </c>
      <c r="M24" s="26">
        <f t="shared" si="14"/>
        <v>0</v>
      </c>
      <c r="N24" s="26">
        <f t="shared" si="14"/>
        <v>3049845.0999999996</v>
      </c>
      <c r="O24" s="26">
        <f t="shared" si="14"/>
        <v>216054.3</v>
      </c>
      <c r="P24" s="26">
        <f t="shared" si="14"/>
        <v>0</v>
      </c>
      <c r="Q24" s="26">
        <f t="shared" si="14"/>
        <v>0</v>
      </c>
      <c r="R24" s="24" t="s">
        <v>15</v>
      </c>
      <c r="S24" s="24" t="s">
        <v>15</v>
      </c>
      <c r="T24" s="24" t="s">
        <v>15</v>
      </c>
      <c r="U24" s="24" t="s">
        <v>15</v>
      </c>
      <c r="V24" s="24" t="s">
        <v>15</v>
      </c>
      <c r="W24" s="24" t="s">
        <v>15</v>
      </c>
      <c r="X24" s="24" t="s">
        <v>15</v>
      </c>
      <c r="Y24" s="24" t="s">
        <v>15</v>
      </c>
      <c r="Z24" s="24" t="s">
        <v>15</v>
      </c>
      <c r="AA24" s="24" t="s">
        <v>15</v>
      </c>
      <c r="AB24" s="24" t="s">
        <v>15</v>
      </c>
      <c r="AC24" s="24" t="s">
        <v>15</v>
      </c>
    </row>
    <row r="25" spans="1:29" s="42" customFormat="1" ht="36.75" customHeight="1" x14ac:dyDescent="0.25">
      <c r="A25" s="51" t="s">
        <v>2</v>
      </c>
      <c r="B25" s="52" t="s">
        <v>90</v>
      </c>
      <c r="C25" s="5" t="s">
        <v>15</v>
      </c>
      <c r="D25" s="5" t="s">
        <v>15</v>
      </c>
      <c r="E25" s="5" t="s">
        <v>15</v>
      </c>
      <c r="F25" s="11">
        <f>F26+F28+F31+F33+F35</f>
        <v>2483190.7889999989</v>
      </c>
      <c r="G25" s="11">
        <f t="shared" ref="G25:Q25" si="15">G26+G28+G31+G33+G35</f>
        <v>261852.01100000009</v>
      </c>
      <c r="H25" s="11">
        <f t="shared" si="15"/>
        <v>0</v>
      </c>
      <c r="I25" s="11">
        <f t="shared" si="15"/>
        <v>0</v>
      </c>
      <c r="J25" s="11">
        <f t="shared" si="15"/>
        <v>2670565.5999999996</v>
      </c>
      <c r="K25" s="11">
        <f t="shared" si="15"/>
        <v>254290.4</v>
      </c>
      <c r="L25" s="11">
        <f t="shared" si="15"/>
        <v>0</v>
      </c>
      <c r="M25" s="11">
        <f t="shared" si="15"/>
        <v>0</v>
      </c>
      <c r="N25" s="11">
        <f t="shared" si="15"/>
        <v>2876425.5999999996</v>
      </c>
      <c r="O25" s="11">
        <f t="shared" si="15"/>
        <v>158247.79999999999</v>
      </c>
      <c r="P25" s="11">
        <f t="shared" si="15"/>
        <v>0</v>
      </c>
      <c r="Q25" s="11">
        <f t="shared" si="15"/>
        <v>0</v>
      </c>
      <c r="R25" s="5" t="s">
        <v>15</v>
      </c>
      <c r="S25" s="5" t="s">
        <v>15</v>
      </c>
      <c r="T25" s="5" t="s">
        <v>15</v>
      </c>
      <c r="U25" s="5" t="s">
        <v>15</v>
      </c>
      <c r="V25" s="5" t="s">
        <v>15</v>
      </c>
      <c r="W25" s="5" t="s">
        <v>15</v>
      </c>
      <c r="X25" s="5" t="s">
        <v>15</v>
      </c>
      <c r="Y25" s="5" t="s">
        <v>15</v>
      </c>
      <c r="Z25" s="5" t="s">
        <v>15</v>
      </c>
      <c r="AA25" s="5" t="s">
        <v>15</v>
      </c>
      <c r="AB25" s="5" t="s">
        <v>15</v>
      </c>
      <c r="AC25" s="5" t="s">
        <v>15</v>
      </c>
    </row>
    <row r="26" spans="1:29" s="19" customFormat="1" ht="70.5" customHeight="1" x14ac:dyDescent="0.25">
      <c r="A26" s="7" t="s">
        <v>1</v>
      </c>
      <c r="B26" s="53" t="s">
        <v>252</v>
      </c>
      <c r="C26" s="7" t="s">
        <v>15</v>
      </c>
      <c r="D26" s="7" t="s">
        <v>15</v>
      </c>
      <c r="E26" s="7" t="s">
        <v>15</v>
      </c>
      <c r="F26" s="8">
        <f>F27</f>
        <v>112751.3</v>
      </c>
      <c r="G26" s="8">
        <f t="shared" ref="G26:Q26" si="16">G27</f>
        <v>145525.6</v>
      </c>
      <c r="H26" s="8">
        <f t="shared" si="16"/>
        <v>0</v>
      </c>
      <c r="I26" s="8">
        <f t="shared" si="16"/>
        <v>0</v>
      </c>
      <c r="J26" s="8">
        <f t="shared" si="16"/>
        <v>136290</v>
      </c>
      <c r="K26" s="8">
        <f t="shared" si="16"/>
        <v>121986.9</v>
      </c>
      <c r="L26" s="8">
        <f t="shared" si="16"/>
        <v>0</v>
      </c>
      <c r="M26" s="8">
        <f t="shared" si="16"/>
        <v>0</v>
      </c>
      <c r="N26" s="8">
        <f t="shared" si="16"/>
        <v>0</v>
      </c>
      <c r="O26" s="8">
        <f t="shared" si="16"/>
        <v>0</v>
      </c>
      <c r="P26" s="8">
        <f t="shared" si="16"/>
        <v>0</v>
      </c>
      <c r="Q26" s="8">
        <f t="shared" si="16"/>
        <v>0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X26" s="7" t="s">
        <v>15</v>
      </c>
      <c r="Y26" s="7" t="s">
        <v>15</v>
      </c>
      <c r="Z26" s="7" t="s">
        <v>15</v>
      </c>
      <c r="AA26" s="7" t="s">
        <v>15</v>
      </c>
      <c r="AB26" s="7" t="s">
        <v>15</v>
      </c>
      <c r="AC26" s="7" t="s">
        <v>15</v>
      </c>
    </row>
    <row r="27" spans="1:29" s="38" customFormat="1" ht="120" customHeight="1" x14ac:dyDescent="0.25">
      <c r="A27" s="158" t="s">
        <v>25</v>
      </c>
      <c r="B27" s="87" t="s">
        <v>21</v>
      </c>
      <c r="C27" s="203" t="s">
        <v>4</v>
      </c>
      <c r="D27" s="203" t="s">
        <v>425</v>
      </c>
      <c r="E27" s="203" t="s">
        <v>425</v>
      </c>
      <c r="F27" s="83">
        <v>112751.3</v>
      </c>
      <c r="G27" s="83">
        <v>145525.6</v>
      </c>
      <c r="H27" s="83">
        <v>0</v>
      </c>
      <c r="I27" s="83">
        <v>0</v>
      </c>
      <c r="J27" s="83">
        <v>136290</v>
      </c>
      <c r="K27" s="83">
        <v>121986.9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158" t="s">
        <v>15</v>
      </c>
      <c r="S27" s="158" t="s">
        <v>15</v>
      </c>
      <c r="T27" s="158" t="s">
        <v>15</v>
      </c>
      <c r="U27" s="99" t="s">
        <v>15</v>
      </c>
      <c r="V27" s="99" t="s">
        <v>15</v>
      </c>
      <c r="W27" s="99" t="s">
        <v>15</v>
      </c>
      <c r="X27" s="99" t="s">
        <v>15</v>
      </c>
      <c r="Y27" s="99" t="s">
        <v>15</v>
      </c>
      <c r="Z27" s="99" t="s">
        <v>15</v>
      </c>
      <c r="AA27" s="203" t="s">
        <v>22</v>
      </c>
      <c r="AB27" s="205" t="s">
        <v>700</v>
      </c>
      <c r="AC27" s="99" t="s">
        <v>426</v>
      </c>
    </row>
    <row r="28" spans="1:29" s="19" customFormat="1" ht="70.5" customHeight="1" x14ac:dyDescent="0.25">
      <c r="A28" s="7" t="s">
        <v>8</v>
      </c>
      <c r="B28" s="53" t="s">
        <v>253</v>
      </c>
      <c r="C28" s="7" t="s">
        <v>15</v>
      </c>
      <c r="D28" s="7" t="s">
        <v>15</v>
      </c>
      <c r="E28" s="7" t="s">
        <v>15</v>
      </c>
      <c r="F28" s="8">
        <f>F29+F30</f>
        <v>270506.40000000002</v>
      </c>
      <c r="G28" s="8">
        <f t="shared" ref="G28:Q28" si="17">G29+G30</f>
        <v>5985.3</v>
      </c>
      <c r="H28" s="8">
        <f t="shared" si="17"/>
        <v>0</v>
      </c>
      <c r="I28" s="8">
        <f t="shared" si="17"/>
        <v>0</v>
      </c>
      <c r="J28" s="8">
        <f t="shared" si="17"/>
        <v>427420.4</v>
      </c>
      <c r="K28" s="8">
        <f t="shared" si="17"/>
        <v>17809.2</v>
      </c>
      <c r="L28" s="8">
        <f t="shared" si="17"/>
        <v>0</v>
      </c>
      <c r="M28" s="8">
        <f t="shared" si="17"/>
        <v>0</v>
      </c>
      <c r="N28" s="8">
        <f t="shared" si="17"/>
        <v>0</v>
      </c>
      <c r="O28" s="8">
        <f t="shared" si="17"/>
        <v>0</v>
      </c>
      <c r="P28" s="8">
        <f t="shared" si="17"/>
        <v>0</v>
      </c>
      <c r="Q28" s="8">
        <f t="shared" si="17"/>
        <v>0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X28" s="7" t="s">
        <v>15</v>
      </c>
      <c r="Y28" s="7" t="s">
        <v>15</v>
      </c>
      <c r="Z28" s="7" t="s">
        <v>15</v>
      </c>
      <c r="AA28" s="7" t="s">
        <v>15</v>
      </c>
      <c r="AB28" s="7" t="s">
        <v>15</v>
      </c>
      <c r="AC28" s="7" t="s">
        <v>15</v>
      </c>
    </row>
    <row r="29" spans="1:29" s="38" customFormat="1" ht="82.5" customHeight="1" x14ac:dyDescent="0.25">
      <c r="A29" s="158" t="s">
        <v>48</v>
      </c>
      <c r="B29" s="87" t="s">
        <v>18</v>
      </c>
      <c r="C29" s="203" t="s">
        <v>4</v>
      </c>
      <c r="D29" s="203" t="s">
        <v>425</v>
      </c>
      <c r="E29" s="203" t="s">
        <v>425</v>
      </c>
      <c r="F29" s="206">
        <v>143647.5</v>
      </c>
      <c r="G29" s="83">
        <v>5985.3</v>
      </c>
      <c r="H29" s="83">
        <v>0</v>
      </c>
      <c r="I29" s="83">
        <v>0</v>
      </c>
      <c r="J29" s="206">
        <v>143647.5</v>
      </c>
      <c r="K29" s="83">
        <v>5985.3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158" t="s">
        <v>15</v>
      </c>
      <c r="S29" s="158" t="s">
        <v>15</v>
      </c>
      <c r="T29" s="158" t="s">
        <v>15</v>
      </c>
      <c r="U29" s="99" t="s">
        <v>15</v>
      </c>
      <c r="V29" s="99" t="s">
        <v>15</v>
      </c>
      <c r="W29" s="99" t="s">
        <v>15</v>
      </c>
      <c r="X29" s="99" t="s">
        <v>15</v>
      </c>
      <c r="Y29" s="99" t="s">
        <v>15</v>
      </c>
      <c r="Z29" s="99" t="s">
        <v>15</v>
      </c>
      <c r="AA29" s="203" t="s">
        <v>17</v>
      </c>
      <c r="AB29" s="219" t="s">
        <v>701</v>
      </c>
      <c r="AC29" s="203" t="s">
        <v>428</v>
      </c>
    </row>
    <row r="30" spans="1:29" s="38" customFormat="1" ht="74.25" customHeight="1" x14ac:dyDescent="0.25">
      <c r="A30" s="158" t="s">
        <v>49</v>
      </c>
      <c r="B30" s="87" t="s">
        <v>19</v>
      </c>
      <c r="C30" s="203" t="s">
        <v>20</v>
      </c>
      <c r="D30" s="203" t="s">
        <v>425</v>
      </c>
      <c r="E30" s="203" t="s">
        <v>425</v>
      </c>
      <c r="F30" s="206">
        <v>126858.9</v>
      </c>
      <c r="G30" s="83">
        <v>0</v>
      </c>
      <c r="H30" s="83">
        <v>0</v>
      </c>
      <c r="I30" s="83">
        <v>0</v>
      </c>
      <c r="J30" s="206">
        <v>283772.90000000002</v>
      </c>
      <c r="K30" s="83">
        <v>11823.9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158" t="s">
        <v>15</v>
      </c>
      <c r="S30" s="158" t="s">
        <v>15</v>
      </c>
      <c r="T30" s="158" t="s">
        <v>15</v>
      </c>
      <c r="U30" s="99" t="s">
        <v>15</v>
      </c>
      <c r="V30" s="99" t="s">
        <v>15</v>
      </c>
      <c r="W30" s="99" t="s">
        <v>15</v>
      </c>
      <c r="X30" s="99" t="s">
        <v>15</v>
      </c>
      <c r="Y30" s="99" t="s">
        <v>15</v>
      </c>
      <c r="Z30" s="99" t="s">
        <v>15</v>
      </c>
      <c r="AA30" s="203" t="s">
        <v>17</v>
      </c>
      <c r="AB30" s="219"/>
      <c r="AC30" s="203" t="s">
        <v>427</v>
      </c>
    </row>
    <row r="31" spans="1:29" s="19" customFormat="1" ht="57" customHeight="1" x14ac:dyDescent="0.25">
      <c r="A31" s="57" t="s">
        <v>42</v>
      </c>
      <c r="B31" s="53" t="s">
        <v>254</v>
      </c>
      <c r="C31" s="7" t="s">
        <v>15</v>
      </c>
      <c r="D31" s="7" t="s">
        <v>15</v>
      </c>
      <c r="E31" s="7" t="s">
        <v>15</v>
      </c>
      <c r="F31" s="8">
        <f>F32</f>
        <v>90308.6</v>
      </c>
      <c r="G31" s="8">
        <f t="shared" ref="G31:Q31" si="18">G32</f>
        <v>0</v>
      </c>
      <c r="H31" s="8">
        <f t="shared" si="18"/>
        <v>0</v>
      </c>
      <c r="I31" s="8">
        <f t="shared" si="18"/>
        <v>0</v>
      </c>
      <c r="J31" s="8">
        <f t="shared" si="18"/>
        <v>87932.1</v>
      </c>
      <c r="K31" s="8">
        <f t="shared" si="18"/>
        <v>3663.8</v>
      </c>
      <c r="L31" s="8">
        <f t="shared" si="18"/>
        <v>0</v>
      </c>
      <c r="M31" s="8">
        <f t="shared" si="18"/>
        <v>0</v>
      </c>
      <c r="N31" s="8">
        <f t="shared" si="18"/>
        <v>0</v>
      </c>
      <c r="O31" s="8">
        <f t="shared" si="18"/>
        <v>0</v>
      </c>
      <c r="P31" s="8">
        <f t="shared" si="18"/>
        <v>0</v>
      </c>
      <c r="Q31" s="8">
        <f t="shared" si="18"/>
        <v>0</v>
      </c>
      <c r="R31" s="7" t="s">
        <v>15</v>
      </c>
      <c r="S31" s="7" t="s">
        <v>15</v>
      </c>
      <c r="T31" s="7" t="s">
        <v>15</v>
      </c>
      <c r="U31" s="7" t="s">
        <v>15</v>
      </c>
      <c r="V31" s="7" t="s">
        <v>15</v>
      </c>
      <c r="W31" s="7" t="s">
        <v>15</v>
      </c>
      <c r="X31" s="7" t="s">
        <v>15</v>
      </c>
      <c r="Y31" s="7" t="s">
        <v>15</v>
      </c>
      <c r="Z31" s="7" t="s">
        <v>15</v>
      </c>
      <c r="AA31" s="7" t="s">
        <v>15</v>
      </c>
      <c r="AB31" s="7" t="s">
        <v>15</v>
      </c>
      <c r="AC31" s="7" t="s">
        <v>15</v>
      </c>
    </row>
    <row r="32" spans="1:29" s="38" customFormat="1" ht="87.75" customHeight="1" x14ac:dyDescent="0.25">
      <c r="A32" s="158" t="s">
        <v>50</v>
      </c>
      <c r="B32" s="87" t="s">
        <v>16</v>
      </c>
      <c r="C32" s="203" t="s">
        <v>20</v>
      </c>
      <c r="D32" s="203" t="s">
        <v>425</v>
      </c>
      <c r="E32" s="203" t="s">
        <v>425</v>
      </c>
      <c r="F32" s="83">
        <v>90308.6</v>
      </c>
      <c r="G32" s="83">
        <v>0</v>
      </c>
      <c r="H32" s="83">
        <v>0</v>
      </c>
      <c r="I32" s="83">
        <v>0</v>
      </c>
      <c r="J32" s="83">
        <v>87932.1</v>
      </c>
      <c r="K32" s="83">
        <v>3663.8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158" t="s">
        <v>15</v>
      </c>
      <c r="S32" s="158" t="s">
        <v>15</v>
      </c>
      <c r="T32" s="158" t="s">
        <v>15</v>
      </c>
      <c r="U32" s="99" t="s">
        <v>15</v>
      </c>
      <c r="V32" s="99" t="s">
        <v>15</v>
      </c>
      <c r="W32" s="99" t="s">
        <v>15</v>
      </c>
      <c r="X32" s="99" t="s">
        <v>15</v>
      </c>
      <c r="Y32" s="99" t="s">
        <v>15</v>
      </c>
      <c r="Z32" s="99" t="s">
        <v>15</v>
      </c>
      <c r="AA32" s="82" t="s">
        <v>17</v>
      </c>
      <c r="AB32" s="203" t="s">
        <v>702</v>
      </c>
      <c r="AC32" s="203" t="s">
        <v>429</v>
      </c>
    </row>
    <row r="33" spans="1:29" s="19" customFormat="1" ht="114.75" customHeight="1" x14ac:dyDescent="0.25">
      <c r="A33" s="7" t="s">
        <v>60</v>
      </c>
      <c r="B33" s="53" t="s">
        <v>255</v>
      </c>
      <c r="C33" s="7" t="s">
        <v>15</v>
      </c>
      <c r="D33" s="7" t="s">
        <v>15</v>
      </c>
      <c r="E33" s="7" t="s">
        <v>15</v>
      </c>
      <c r="F33" s="8">
        <f>F34</f>
        <v>92007.5</v>
      </c>
      <c r="G33" s="8">
        <f t="shared" ref="G33:Q33" si="19">G34</f>
        <v>4842.5</v>
      </c>
      <c r="H33" s="8">
        <f t="shared" si="19"/>
        <v>0</v>
      </c>
      <c r="I33" s="8">
        <f t="shared" si="19"/>
        <v>0</v>
      </c>
      <c r="J33" s="8">
        <f t="shared" si="19"/>
        <v>101306.1</v>
      </c>
      <c r="K33" s="8">
        <f t="shared" si="19"/>
        <v>5331.9</v>
      </c>
      <c r="L33" s="8">
        <f t="shared" si="19"/>
        <v>0</v>
      </c>
      <c r="M33" s="8">
        <f t="shared" si="19"/>
        <v>0</v>
      </c>
      <c r="N33" s="8">
        <f t="shared" si="19"/>
        <v>0</v>
      </c>
      <c r="O33" s="8">
        <f t="shared" si="19"/>
        <v>0</v>
      </c>
      <c r="P33" s="8">
        <f t="shared" si="19"/>
        <v>0</v>
      </c>
      <c r="Q33" s="8">
        <f t="shared" si="19"/>
        <v>0</v>
      </c>
      <c r="R33" s="7" t="s">
        <v>15</v>
      </c>
      <c r="S33" s="7" t="s">
        <v>15</v>
      </c>
      <c r="T33" s="7" t="s">
        <v>15</v>
      </c>
      <c r="U33" s="7" t="s">
        <v>15</v>
      </c>
      <c r="V33" s="7" t="s">
        <v>15</v>
      </c>
      <c r="W33" s="7" t="s">
        <v>15</v>
      </c>
      <c r="X33" s="7" t="s">
        <v>15</v>
      </c>
      <c r="Y33" s="7" t="s">
        <v>15</v>
      </c>
      <c r="Z33" s="7" t="s">
        <v>15</v>
      </c>
      <c r="AA33" s="7" t="s">
        <v>15</v>
      </c>
      <c r="AB33" s="7" t="s">
        <v>15</v>
      </c>
      <c r="AC33" s="7" t="s">
        <v>15</v>
      </c>
    </row>
    <row r="34" spans="1:29" s="38" customFormat="1" ht="75" customHeight="1" x14ac:dyDescent="0.25">
      <c r="A34" s="158" t="s">
        <v>51</v>
      </c>
      <c r="B34" s="125" t="s">
        <v>23</v>
      </c>
      <c r="C34" s="203" t="s">
        <v>4</v>
      </c>
      <c r="D34" s="203" t="s">
        <v>425</v>
      </c>
      <c r="E34" s="203" t="s">
        <v>425</v>
      </c>
      <c r="F34" s="83">
        <v>92007.5</v>
      </c>
      <c r="G34" s="83">
        <v>4842.5</v>
      </c>
      <c r="H34" s="83">
        <v>0</v>
      </c>
      <c r="I34" s="83">
        <v>0</v>
      </c>
      <c r="J34" s="83">
        <v>101306.1</v>
      </c>
      <c r="K34" s="83">
        <v>5331.9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158" t="s">
        <v>15</v>
      </c>
      <c r="S34" s="158" t="s">
        <v>15</v>
      </c>
      <c r="T34" s="158" t="s">
        <v>15</v>
      </c>
      <c r="U34" s="99" t="s">
        <v>15</v>
      </c>
      <c r="V34" s="99" t="s">
        <v>15</v>
      </c>
      <c r="W34" s="99" t="s">
        <v>15</v>
      </c>
      <c r="X34" s="99" t="s">
        <v>15</v>
      </c>
      <c r="Y34" s="99" t="s">
        <v>15</v>
      </c>
      <c r="Z34" s="99" t="s">
        <v>15</v>
      </c>
      <c r="AA34" s="82" t="s">
        <v>17</v>
      </c>
      <c r="AB34" s="203" t="s">
        <v>434</v>
      </c>
      <c r="AC34" s="203" t="s">
        <v>435</v>
      </c>
    </row>
    <row r="35" spans="1:29" s="19" customFormat="1" ht="68.25" customHeight="1" x14ac:dyDescent="0.25">
      <c r="A35" s="7" t="s">
        <v>63</v>
      </c>
      <c r="B35" s="53" t="s">
        <v>256</v>
      </c>
      <c r="C35" s="7" t="s">
        <v>15</v>
      </c>
      <c r="D35" s="7" t="s">
        <v>15</v>
      </c>
      <c r="E35" s="7" t="s">
        <v>15</v>
      </c>
      <c r="F35" s="8">
        <f>F36</f>
        <v>1917616.9889999987</v>
      </c>
      <c r="G35" s="8">
        <f t="shared" ref="G35:Q35" si="20">G36</f>
        <v>105498.61100000009</v>
      </c>
      <c r="H35" s="8">
        <f t="shared" si="20"/>
        <v>0</v>
      </c>
      <c r="I35" s="8">
        <f t="shared" si="20"/>
        <v>0</v>
      </c>
      <c r="J35" s="8">
        <f t="shared" si="20"/>
        <v>1917616.9999999998</v>
      </c>
      <c r="K35" s="8">
        <f t="shared" si="20"/>
        <v>105498.6</v>
      </c>
      <c r="L35" s="8">
        <f t="shared" si="20"/>
        <v>0</v>
      </c>
      <c r="M35" s="8">
        <f t="shared" si="20"/>
        <v>0</v>
      </c>
      <c r="N35" s="8">
        <f t="shared" si="20"/>
        <v>2876425.5999999996</v>
      </c>
      <c r="O35" s="8">
        <f t="shared" si="20"/>
        <v>158247.79999999999</v>
      </c>
      <c r="P35" s="8">
        <f t="shared" si="20"/>
        <v>0</v>
      </c>
      <c r="Q35" s="8">
        <f t="shared" si="20"/>
        <v>0</v>
      </c>
      <c r="R35" s="7" t="s">
        <v>15</v>
      </c>
      <c r="S35" s="7" t="s">
        <v>15</v>
      </c>
      <c r="T35" s="7" t="s">
        <v>15</v>
      </c>
      <c r="U35" s="7" t="s">
        <v>15</v>
      </c>
      <c r="V35" s="7" t="s">
        <v>15</v>
      </c>
      <c r="W35" s="7" t="s">
        <v>15</v>
      </c>
      <c r="X35" s="7" t="s">
        <v>15</v>
      </c>
      <c r="Y35" s="7" t="s">
        <v>15</v>
      </c>
      <c r="Z35" s="7" t="s">
        <v>15</v>
      </c>
      <c r="AA35" s="7" t="s">
        <v>15</v>
      </c>
      <c r="AB35" s="7" t="s">
        <v>15</v>
      </c>
      <c r="AC35" s="7" t="s">
        <v>15</v>
      </c>
    </row>
    <row r="36" spans="1:29" s="38" customFormat="1" ht="41.25" customHeight="1" x14ac:dyDescent="0.25">
      <c r="A36" s="141" t="s">
        <v>52</v>
      </c>
      <c r="B36" s="151" t="s">
        <v>24</v>
      </c>
      <c r="C36" s="220" t="s">
        <v>4</v>
      </c>
      <c r="D36" s="220" t="s">
        <v>425</v>
      </c>
      <c r="E36" s="220" t="s">
        <v>841</v>
      </c>
      <c r="F36" s="144">
        <f>F37+F38</f>
        <v>1917616.9889999987</v>
      </c>
      <c r="G36" s="144">
        <f t="shared" ref="G36:Q36" si="21">G37+G38</f>
        <v>105498.61100000009</v>
      </c>
      <c r="H36" s="144">
        <f t="shared" si="21"/>
        <v>0</v>
      </c>
      <c r="I36" s="144">
        <f t="shared" si="21"/>
        <v>0</v>
      </c>
      <c r="J36" s="144">
        <f t="shared" si="21"/>
        <v>1917616.9999999998</v>
      </c>
      <c r="K36" s="144">
        <f t="shared" si="21"/>
        <v>105498.6</v>
      </c>
      <c r="L36" s="144">
        <f t="shared" si="21"/>
        <v>0</v>
      </c>
      <c r="M36" s="144">
        <f t="shared" si="21"/>
        <v>0</v>
      </c>
      <c r="N36" s="144">
        <f t="shared" si="21"/>
        <v>2876425.5999999996</v>
      </c>
      <c r="O36" s="144">
        <f t="shared" si="21"/>
        <v>158247.79999999999</v>
      </c>
      <c r="P36" s="144">
        <f t="shared" si="21"/>
        <v>0</v>
      </c>
      <c r="Q36" s="144">
        <f t="shared" si="21"/>
        <v>0</v>
      </c>
      <c r="R36" s="141" t="s">
        <v>15</v>
      </c>
      <c r="S36" s="141" t="s">
        <v>15</v>
      </c>
      <c r="T36" s="141" t="s">
        <v>15</v>
      </c>
      <c r="U36" s="152" t="s">
        <v>15</v>
      </c>
      <c r="V36" s="152" t="s">
        <v>15</v>
      </c>
      <c r="W36" s="152" t="s">
        <v>15</v>
      </c>
      <c r="X36" s="152" t="s">
        <v>15</v>
      </c>
      <c r="Y36" s="152" t="s">
        <v>15</v>
      </c>
      <c r="Z36" s="152" t="s">
        <v>15</v>
      </c>
      <c r="AA36" s="220" t="s">
        <v>17</v>
      </c>
      <c r="AB36" s="220" t="s">
        <v>433</v>
      </c>
      <c r="AC36" s="220" t="s">
        <v>536</v>
      </c>
    </row>
    <row r="37" spans="1:29" s="100" customFormat="1" ht="59.25" customHeight="1" x14ac:dyDescent="0.25">
      <c r="A37" s="153" t="s">
        <v>53</v>
      </c>
      <c r="B37" s="154" t="s">
        <v>26</v>
      </c>
      <c r="C37" s="220"/>
      <c r="D37" s="220"/>
      <c r="E37" s="220"/>
      <c r="F37" s="144">
        <v>589200.58900000004</v>
      </c>
      <c r="G37" s="155">
        <v>32415.010999999999</v>
      </c>
      <c r="H37" s="140">
        <v>0</v>
      </c>
      <c r="I37" s="140">
        <v>0</v>
      </c>
      <c r="J37" s="144">
        <v>77833.7</v>
      </c>
      <c r="K37" s="156">
        <v>4281.8999999999996</v>
      </c>
      <c r="L37" s="140">
        <v>0</v>
      </c>
      <c r="M37" s="140">
        <v>0</v>
      </c>
      <c r="N37" s="156">
        <v>1041002.2</v>
      </c>
      <c r="O37" s="140">
        <v>57271.199999999997</v>
      </c>
      <c r="P37" s="140">
        <v>0</v>
      </c>
      <c r="Q37" s="140">
        <v>0</v>
      </c>
      <c r="R37" s="141" t="s">
        <v>15</v>
      </c>
      <c r="S37" s="141" t="s">
        <v>15</v>
      </c>
      <c r="T37" s="141" t="s">
        <v>15</v>
      </c>
      <c r="U37" s="152" t="s">
        <v>15</v>
      </c>
      <c r="V37" s="152" t="s">
        <v>15</v>
      </c>
      <c r="W37" s="152" t="s">
        <v>15</v>
      </c>
      <c r="X37" s="152" t="s">
        <v>15</v>
      </c>
      <c r="Y37" s="152" t="s">
        <v>15</v>
      </c>
      <c r="Z37" s="152" t="s">
        <v>15</v>
      </c>
      <c r="AA37" s="220"/>
      <c r="AB37" s="220"/>
      <c r="AC37" s="220"/>
    </row>
    <row r="38" spans="1:29" s="100" customFormat="1" ht="62.25" customHeight="1" x14ac:dyDescent="0.25">
      <c r="A38" s="157" t="s">
        <v>54</v>
      </c>
      <c r="B38" s="154" t="s">
        <v>27</v>
      </c>
      <c r="C38" s="220"/>
      <c r="D38" s="220"/>
      <c r="E38" s="220"/>
      <c r="F38" s="144">
        <f>SUM(F39:F70)</f>
        <v>1328416.3999999985</v>
      </c>
      <c r="G38" s="144">
        <f t="shared" ref="G38:Q38" si="22">SUM(G39:G70)</f>
        <v>73083.600000000093</v>
      </c>
      <c r="H38" s="144">
        <f t="shared" si="22"/>
        <v>0</v>
      </c>
      <c r="I38" s="144">
        <f t="shared" si="22"/>
        <v>0</v>
      </c>
      <c r="J38" s="144">
        <f t="shared" si="22"/>
        <v>1839783.2999999998</v>
      </c>
      <c r="K38" s="144">
        <f t="shared" si="22"/>
        <v>101216.70000000001</v>
      </c>
      <c r="L38" s="144">
        <f t="shared" si="22"/>
        <v>0</v>
      </c>
      <c r="M38" s="144">
        <f t="shared" si="22"/>
        <v>0</v>
      </c>
      <c r="N38" s="144">
        <f t="shared" si="22"/>
        <v>1835423.3999999997</v>
      </c>
      <c r="O38" s="144">
        <f t="shared" si="22"/>
        <v>100976.6</v>
      </c>
      <c r="P38" s="144">
        <f t="shared" si="22"/>
        <v>0</v>
      </c>
      <c r="Q38" s="144">
        <f t="shared" si="22"/>
        <v>0</v>
      </c>
      <c r="R38" s="141" t="s">
        <v>15</v>
      </c>
      <c r="S38" s="141" t="s">
        <v>15</v>
      </c>
      <c r="T38" s="141" t="s">
        <v>15</v>
      </c>
      <c r="U38" s="152" t="s">
        <v>15</v>
      </c>
      <c r="V38" s="152" t="s">
        <v>15</v>
      </c>
      <c r="W38" s="152" t="s">
        <v>15</v>
      </c>
      <c r="X38" s="152" t="s">
        <v>15</v>
      </c>
      <c r="Y38" s="152" t="s">
        <v>15</v>
      </c>
      <c r="Z38" s="152" t="s">
        <v>15</v>
      </c>
      <c r="AA38" s="220"/>
      <c r="AB38" s="220"/>
      <c r="AC38" s="220"/>
    </row>
    <row r="39" spans="1:29" s="100" customFormat="1" ht="62.25" customHeight="1" x14ac:dyDescent="0.25">
      <c r="A39" s="157" t="s">
        <v>1004</v>
      </c>
      <c r="B39" s="154" t="s">
        <v>821</v>
      </c>
      <c r="C39" s="205" t="s">
        <v>4</v>
      </c>
      <c r="D39" s="205" t="s">
        <v>425</v>
      </c>
      <c r="E39" s="205" t="s">
        <v>377</v>
      </c>
      <c r="F39" s="144">
        <v>259711.8</v>
      </c>
      <c r="G39" s="155">
        <f>274000-F39</f>
        <v>14288.200000000012</v>
      </c>
      <c r="H39" s="140">
        <v>0</v>
      </c>
      <c r="I39" s="140">
        <v>0</v>
      </c>
      <c r="J39" s="144">
        <v>365871.4</v>
      </c>
      <c r="K39" s="156">
        <f>386000-J39</f>
        <v>20128.599999999977</v>
      </c>
      <c r="L39" s="140">
        <v>0</v>
      </c>
      <c r="M39" s="140">
        <v>0</v>
      </c>
      <c r="N39" s="156">
        <v>356772</v>
      </c>
      <c r="O39" s="140">
        <v>19628</v>
      </c>
      <c r="P39" s="140">
        <v>0</v>
      </c>
      <c r="Q39" s="140">
        <v>0</v>
      </c>
      <c r="R39" s="141">
        <v>2022</v>
      </c>
      <c r="S39" s="141">
        <v>2025</v>
      </c>
      <c r="T39" s="205" t="s">
        <v>750</v>
      </c>
      <c r="U39" s="152" t="s">
        <v>105</v>
      </c>
      <c r="V39" s="205" t="s">
        <v>758</v>
      </c>
      <c r="W39" s="205" t="s">
        <v>758</v>
      </c>
      <c r="X39" s="152" t="s">
        <v>759</v>
      </c>
      <c r="Y39" s="75">
        <v>2025</v>
      </c>
      <c r="Z39" s="152">
        <v>1212044.58</v>
      </c>
      <c r="AA39" s="152" t="s">
        <v>15</v>
      </c>
      <c r="AB39" s="152" t="s">
        <v>15</v>
      </c>
      <c r="AC39" s="152" t="s">
        <v>15</v>
      </c>
    </row>
    <row r="40" spans="1:29" s="100" customFormat="1" ht="57.75" customHeight="1" x14ac:dyDescent="0.25">
      <c r="A40" s="157" t="s">
        <v>1005</v>
      </c>
      <c r="B40" s="212" t="s">
        <v>822</v>
      </c>
      <c r="C40" s="205" t="s">
        <v>4</v>
      </c>
      <c r="D40" s="205" t="s">
        <v>425</v>
      </c>
      <c r="E40" s="205" t="s">
        <v>377</v>
      </c>
      <c r="F40" s="144">
        <v>284356</v>
      </c>
      <c r="G40" s="155">
        <f>300000-F40</f>
        <v>15644</v>
      </c>
      <c r="H40" s="140">
        <v>0</v>
      </c>
      <c r="I40" s="140">
        <v>0</v>
      </c>
      <c r="J40" s="144">
        <v>0</v>
      </c>
      <c r="K40" s="156">
        <v>0</v>
      </c>
      <c r="L40" s="140">
        <v>0</v>
      </c>
      <c r="M40" s="140">
        <v>0</v>
      </c>
      <c r="N40" s="140">
        <v>0</v>
      </c>
      <c r="O40" s="140">
        <v>0</v>
      </c>
      <c r="P40" s="140">
        <v>0</v>
      </c>
      <c r="Q40" s="140">
        <v>0</v>
      </c>
      <c r="R40" s="141">
        <v>2022</v>
      </c>
      <c r="S40" s="141">
        <v>2023</v>
      </c>
      <c r="T40" s="141">
        <v>2020</v>
      </c>
      <c r="U40" s="152" t="s">
        <v>105</v>
      </c>
      <c r="V40" s="152" t="s">
        <v>823</v>
      </c>
      <c r="W40" s="152" t="s">
        <v>824</v>
      </c>
      <c r="X40" s="152" t="s">
        <v>77</v>
      </c>
      <c r="Y40" s="75">
        <v>2023</v>
      </c>
      <c r="Z40" s="152">
        <v>546152.81000000006</v>
      </c>
      <c r="AA40" s="152" t="s">
        <v>15</v>
      </c>
      <c r="AB40" s="152" t="s">
        <v>15</v>
      </c>
      <c r="AC40" s="152" t="s">
        <v>15</v>
      </c>
    </row>
    <row r="41" spans="1:29" s="100" customFormat="1" ht="59.25" customHeight="1" x14ac:dyDescent="0.25">
      <c r="A41" s="157" t="s">
        <v>1006</v>
      </c>
      <c r="B41" s="212" t="s">
        <v>825</v>
      </c>
      <c r="C41" s="205" t="s">
        <v>4</v>
      </c>
      <c r="D41" s="205" t="s">
        <v>425</v>
      </c>
      <c r="E41" s="205" t="s">
        <v>377</v>
      </c>
      <c r="F41" s="144">
        <v>189570.7</v>
      </c>
      <c r="G41" s="155">
        <f>200000-F41</f>
        <v>10429.299999999988</v>
      </c>
      <c r="H41" s="140">
        <v>0</v>
      </c>
      <c r="I41" s="140">
        <v>0</v>
      </c>
      <c r="J41" s="144">
        <v>236963.3</v>
      </c>
      <c r="K41" s="156">
        <f>250000-J41</f>
        <v>13036.700000000012</v>
      </c>
      <c r="L41" s="140">
        <v>0</v>
      </c>
      <c r="M41" s="140">
        <v>0</v>
      </c>
      <c r="N41" s="156">
        <v>0</v>
      </c>
      <c r="O41" s="140">
        <v>0</v>
      </c>
      <c r="P41" s="140">
        <v>0</v>
      </c>
      <c r="Q41" s="140">
        <v>0</v>
      </c>
      <c r="R41" s="141">
        <v>2022</v>
      </c>
      <c r="S41" s="141">
        <v>2024</v>
      </c>
      <c r="T41" s="141">
        <v>2022</v>
      </c>
      <c r="U41" s="152" t="s">
        <v>105</v>
      </c>
      <c r="V41" s="150">
        <v>44743</v>
      </c>
      <c r="W41" s="150">
        <v>44743</v>
      </c>
      <c r="X41" s="152" t="s">
        <v>77</v>
      </c>
      <c r="Y41" s="75">
        <v>2024</v>
      </c>
      <c r="Z41" s="152" t="s">
        <v>77</v>
      </c>
      <c r="AA41" s="152" t="s">
        <v>15</v>
      </c>
      <c r="AB41" s="152" t="s">
        <v>15</v>
      </c>
      <c r="AC41" s="152" t="s">
        <v>15</v>
      </c>
    </row>
    <row r="42" spans="1:29" s="100" customFormat="1" ht="59.25" customHeight="1" x14ac:dyDescent="0.25">
      <c r="A42" s="157" t="s">
        <v>1007</v>
      </c>
      <c r="B42" s="212" t="s">
        <v>826</v>
      </c>
      <c r="C42" s="205" t="s">
        <v>4</v>
      </c>
      <c r="D42" s="205" t="s">
        <v>425</v>
      </c>
      <c r="E42" s="205" t="s">
        <v>377</v>
      </c>
      <c r="F42" s="144">
        <v>170613.6</v>
      </c>
      <c r="G42" s="155">
        <f>180000-F42</f>
        <v>9386.3999999999942</v>
      </c>
      <c r="H42" s="140">
        <v>0</v>
      </c>
      <c r="I42" s="140">
        <v>0</v>
      </c>
      <c r="J42" s="144">
        <v>236963.3</v>
      </c>
      <c r="K42" s="156">
        <f>250000-J42</f>
        <v>13036.700000000012</v>
      </c>
      <c r="L42" s="140">
        <v>0</v>
      </c>
      <c r="M42" s="140">
        <v>0</v>
      </c>
      <c r="N42" s="156">
        <v>0</v>
      </c>
      <c r="O42" s="140">
        <v>0</v>
      </c>
      <c r="P42" s="140">
        <v>0</v>
      </c>
      <c r="Q42" s="140">
        <v>0</v>
      </c>
      <c r="R42" s="141">
        <v>2022</v>
      </c>
      <c r="S42" s="141">
        <v>2024</v>
      </c>
      <c r="T42" s="141">
        <v>2019</v>
      </c>
      <c r="U42" s="152" t="s">
        <v>105</v>
      </c>
      <c r="V42" s="152" t="s">
        <v>827</v>
      </c>
      <c r="W42" s="152" t="s">
        <v>828</v>
      </c>
      <c r="X42" s="152" t="s">
        <v>77</v>
      </c>
      <c r="Y42" s="75">
        <v>2024</v>
      </c>
      <c r="Z42" s="152">
        <v>1366583.01</v>
      </c>
      <c r="AA42" s="152" t="s">
        <v>15</v>
      </c>
      <c r="AB42" s="152" t="s">
        <v>15</v>
      </c>
      <c r="AC42" s="152" t="s">
        <v>15</v>
      </c>
    </row>
    <row r="43" spans="1:29" s="100" customFormat="1" ht="62.25" customHeight="1" x14ac:dyDescent="0.25">
      <c r="A43" s="157" t="s">
        <v>1008</v>
      </c>
      <c r="B43" s="212" t="s">
        <v>829</v>
      </c>
      <c r="C43" s="205" t="s">
        <v>4</v>
      </c>
      <c r="D43" s="205" t="s">
        <v>425</v>
      </c>
      <c r="E43" s="205" t="s">
        <v>377</v>
      </c>
      <c r="F43" s="144">
        <v>142178</v>
      </c>
      <c r="G43" s="155">
        <f>150000-F43</f>
        <v>7822</v>
      </c>
      <c r="H43" s="140">
        <v>0</v>
      </c>
      <c r="I43" s="140">
        <v>0</v>
      </c>
      <c r="J43" s="144">
        <v>331748.7</v>
      </c>
      <c r="K43" s="156">
        <f>350000-J43</f>
        <v>18251.299999999988</v>
      </c>
      <c r="L43" s="140">
        <v>0</v>
      </c>
      <c r="M43" s="140">
        <v>0</v>
      </c>
      <c r="N43" s="156">
        <v>379141.4</v>
      </c>
      <c r="O43" s="140">
        <v>20858.599999999999</v>
      </c>
      <c r="P43" s="140">
        <v>0</v>
      </c>
      <c r="Q43" s="140">
        <v>0</v>
      </c>
      <c r="R43" s="141">
        <v>2023</v>
      </c>
      <c r="S43" s="141">
        <v>2025</v>
      </c>
      <c r="T43" s="141">
        <v>2022</v>
      </c>
      <c r="U43" s="152" t="s">
        <v>105</v>
      </c>
      <c r="V43" s="150">
        <v>44866</v>
      </c>
      <c r="W43" s="150">
        <v>44866</v>
      </c>
      <c r="X43" s="152" t="s">
        <v>77</v>
      </c>
      <c r="Y43" s="75">
        <v>2025</v>
      </c>
      <c r="Z43" s="152" t="s">
        <v>77</v>
      </c>
      <c r="AA43" s="152" t="s">
        <v>15</v>
      </c>
      <c r="AB43" s="152" t="s">
        <v>15</v>
      </c>
      <c r="AC43" s="152" t="s">
        <v>15</v>
      </c>
    </row>
    <row r="44" spans="1:29" s="100" customFormat="1" ht="59.25" customHeight="1" x14ac:dyDescent="0.25">
      <c r="A44" s="157" t="s">
        <v>1009</v>
      </c>
      <c r="B44" s="212" t="s">
        <v>830</v>
      </c>
      <c r="C44" s="205" t="s">
        <v>4</v>
      </c>
      <c r="D44" s="205" t="s">
        <v>425</v>
      </c>
      <c r="E44" s="205" t="s">
        <v>377</v>
      </c>
      <c r="F44" s="144">
        <v>66349.7</v>
      </c>
      <c r="G44" s="155">
        <f>70000-F44</f>
        <v>3650.3000000000029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1">
        <v>2022</v>
      </c>
      <c r="S44" s="141">
        <v>2023</v>
      </c>
      <c r="T44" s="141">
        <v>2022</v>
      </c>
      <c r="U44" s="152" t="s">
        <v>105</v>
      </c>
      <c r="V44" s="150">
        <v>44743</v>
      </c>
      <c r="W44" s="150">
        <v>44743</v>
      </c>
      <c r="X44" s="152" t="s">
        <v>77</v>
      </c>
      <c r="Y44" s="75">
        <v>2023</v>
      </c>
      <c r="Z44" s="152" t="s">
        <v>77</v>
      </c>
      <c r="AA44" s="152" t="s">
        <v>15</v>
      </c>
      <c r="AB44" s="152" t="s">
        <v>15</v>
      </c>
      <c r="AC44" s="152" t="s">
        <v>15</v>
      </c>
    </row>
    <row r="45" spans="1:29" s="100" customFormat="1" ht="62.25" customHeight="1" x14ac:dyDescent="0.25">
      <c r="A45" s="157" t="s">
        <v>1010</v>
      </c>
      <c r="B45" s="212" t="s">
        <v>831</v>
      </c>
      <c r="C45" s="205" t="s">
        <v>4</v>
      </c>
      <c r="D45" s="205" t="s">
        <v>425</v>
      </c>
      <c r="E45" s="205" t="s">
        <v>377</v>
      </c>
      <c r="F45" s="144">
        <v>94785.3</v>
      </c>
      <c r="G45" s="155">
        <f>100000-F45</f>
        <v>5214.6999999999971</v>
      </c>
      <c r="H45" s="140">
        <v>0</v>
      </c>
      <c r="I45" s="140">
        <v>0</v>
      </c>
      <c r="J45" s="144">
        <v>127960.2</v>
      </c>
      <c r="K45" s="156">
        <f>135000-J45</f>
        <v>7039.8000000000029</v>
      </c>
      <c r="L45" s="140">
        <v>0</v>
      </c>
      <c r="M45" s="140">
        <v>0</v>
      </c>
      <c r="N45" s="156">
        <v>298573.8</v>
      </c>
      <c r="O45" s="140">
        <v>16426.2</v>
      </c>
      <c r="P45" s="140">
        <v>0</v>
      </c>
      <c r="Q45" s="140">
        <v>0</v>
      </c>
      <c r="R45" s="141">
        <v>2023</v>
      </c>
      <c r="S45" s="141">
        <v>2025</v>
      </c>
      <c r="T45" s="141">
        <v>2022</v>
      </c>
      <c r="U45" s="152" t="s">
        <v>105</v>
      </c>
      <c r="V45" s="150">
        <v>44866</v>
      </c>
      <c r="W45" s="150">
        <v>44866</v>
      </c>
      <c r="X45" s="152" t="s">
        <v>77</v>
      </c>
      <c r="Y45" s="75">
        <v>2025</v>
      </c>
      <c r="Z45" s="152" t="s">
        <v>77</v>
      </c>
      <c r="AA45" s="152" t="s">
        <v>15</v>
      </c>
      <c r="AB45" s="152" t="s">
        <v>15</v>
      </c>
      <c r="AC45" s="152" t="s">
        <v>15</v>
      </c>
    </row>
    <row r="46" spans="1:29" s="100" customFormat="1" ht="62.25" customHeight="1" x14ac:dyDescent="0.25">
      <c r="A46" s="157" t="s">
        <v>1011</v>
      </c>
      <c r="B46" s="212" t="s">
        <v>832</v>
      </c>
      <c r="C46" s="205" t="s">
        <v>4</v>
      </c>
      <c r="D46" s="205" t="s">
        <v>425</v>
      </c>
      <c r="E46" s="205" t="s">
        <v>377</v>
      </c>
      <c r="F46" s="144">
        <v>0</v>
      </c>
      <c r="G46" s="155">
        <v>0</v>
      </c>
      <c r="H46" s="140">
        <v>0</v>
      </c>
      <c r="I46" s="140">
        <v>0</v>
      </c>
      <c r="J46" s="144">
        <v>236963.3</v>
      </c>
      <c r="K46" s="156">
        <f>250000-J46</f>
        <v>13036.700000000012</v>
      </c>
      <c r="L46" s="140">
        <v>0</v>
      </c>
      <c r="M46" s="140">
        <v>0</v>
      </c>
      <c r="N46" s="156">
        <v>360184.3</v>
      </c>
      <c r="O46" s="140">
        <v>19815.7</v>
      </c>
      <c r="P46" s="140">
        <v>0</v>
      </c>
      <c r="Q46" s="140">
        <v>0</v>
      </c>
      <c r="R46" s="141">
        <v>2024</v>
      </c>
      <c r="S46" s="141">
        <v>2025</v>
      </c>
      <c r="T46" s="141">
        <v>2023</v>
      </c>
      <c r="U46" s="152" t="s">
        <v>105</v>
      </c>
      <c r="V46" s="150">
        <v>45078</v>
      </c>
      <c r="W46" s="150">
        <v>45078</v>
      </c>
      <c r="X46" s="152" t="s">
        <v>77</v>
      </c>
      <c r="Y46" s="75">
        <v>2025</v>
      </c>
      <c r="Z46" s="152" t="s">
        <v>77</v>
      </c>
      <c r="AA46" s="152" t="s">
        <v>15</v>
      </c>
      <c r="AB46" s="152" t="s">
        <v>15</v>
      </c>
      <c r="AC46" s="152" t="s">
        <v>15</v>
      </c>
    </row>
    <row r="47" spans="1:29" s="100" customFormat="1" ht="59.25" customHeight="1" x14ac:dyDescent="0.25">
      <c r="A47" s="157" t="s">
        <v>1012</v>
      </c>
      <c r="B47" s="212" t="s">
        <v>833</v>
      </c>
      <c r="C47" s="205" t="s">
        <v>4</v>
      </c>
      <c r="D47" s="205" t="s">
        <v>425</v>
      </c>
      <c r="E47" s="205" t="s">
        <v>377</v>
      </c>
      <c r="F47" s="144">
        <v>0</v>
      </c>
      <c r="G47" s="155">
        <v>0</v>
      </c>
      <c r="H47" s="140">
        <v>0</v>
      </c>
      <c r="I47" s="140">
        <v>0</v>
      </c>
      <c r="J47" s="144">
        <v>236963.3</v>
      </c>
      <c r="K47" s="156">
        <f>250000-J47</f>
        <v>13036.700000000012</v>
      </c>
      <c r="L47" s="140">
        <v>0</v>
      </c>
      <c r="M47" s="140">
        <v>0</v>
      </c>
      <c r="N47" s="156">
        <v>360184.3</v>
      </c>
      <c r="O47" s="140">
        <v>19815.7</v>
      </c>
      <c r="P47" s="140">
        <v>0</v>
      </c>
      <c r="Q47" s="140">
        <v>0</v>
      </c>
      <c r="R47" s="141">
        <v>2024</v>
      </c>
      <c r="S47" s="141">
        <v>2025</v>
      </c>
      <c r="T47" s="141">
        <v>2023</v>
      </c>
      <c r="U47" s="152" t="s">
        <v>105</v>
      </c>
      <c r="V47" s="150">
        <v>45078</v>
      </c>
      <c r="W47" s="150">
        <v>45078</v>
      </c>
      <c r="X47" s="152" t="s">
        <v>77</v>
      </c>
      <c r="Y47" s="75">
        <v>2025</v>
      </c>
      <c r="Z47" s="152" t="s">
        <v>77</v>
      </c>
      <c r="AA47" s="152" t="s">
        <v>15</v>
      </c>
      <c r="AB47" s="152" t="s">
        <v>15</v>
      </c>
      <c r="AC47" s="152" t="s">
        <v>15</v>
      </c>
    </row>
    <row r="48" spans="1:29" s="100" customFormat="1" ht="45.75" customHeight="1" x14ac:dyDescent="0.25">
      <c r="A48" s="157" t="s">
        <v>1013</v>
      </c>
      <c r="B48" s="154" t="s">
        <v>964</v>
      </c>
      <c r="C48" s="220" t="s">
        <v>4</v>
      </c>
      <c r="D48" s="220" t="s">
        <v>425</v>
      </c>
      <c r="E48" s="220" t="s">
        <v>425</v>
      </c>
      <c r="F48" s="144">
        <v>7108.9</v>
      </c>
      <c r="G48" s="155">
        <f>7500-F48</f>
        <v>391.10000000000036</v>
      </c>
      <c r="H48" s="213">
        <v>0</v>
      </c>
      <c r="I48" s="140">
        <v>0</v>
      </c>
      <c r="J48" s="144">
        <v>0</v>
      </c>
      <c r="K48" s="156">
        <v>0</v>
      </c>
      <c r="L48" s="213">
        <v>0</v>
      </c>
      <c r="M48" s="140">
        <v>0</v>
      </c>
      <c r="N48" s="156">
        <v>0</v>
      </c>
      <c r="O48" s="140">
        <v>0</v>
      </c>
      <c r="P48" s="213">
        <v>0</v>
      </c>
      <c r="Q48" s="140">
        <v>0</v>
      </c>
      <c r="R48" s="141">
        <v>2023</v>
      </c>
      <c r="S48" s="141">
        <v>2023</v>
      </c>
      <c r="T48" s="141" t="s">
        <v>105</v>
      </c>
      <c r="U48" s="141" t="s">
        <v>105</v>
      </c>
      <c r="V48" s="141" t="s">
        <v>105</v>
      </c>
      <c r="W48" s="141" t="s">
        <v>105</v>
      </c>
      <c r="X48" s="141" t="s">
        <v>105</v>
      </c>
      <c r="Y48" s="141" t="s">
        <v>105</v>
      </c>
      <c r="Z48" s="140">
        <v>7500</v>
      </c>
      <c r="AA48" s="152" t="s">
        <v>15</v>
      </c>
      <c r="AB48" s="152" t="s">
        <v>15</v>
      </c>
      <c r="AC48" s="152" t="s">
        <v>15</v>
      </c>
    </row>
    <row r="49" spans="1:29" s="100" customFormat="1" ht="47.25" customHeight="1" x14ac:dyDescent="0.25">
      <c r="A49" s="157" t="s">
        <v>1014</v>
      </c>
      <c r="B49" s="154" t="s">
        <v>965</v>
      </c>
      <c r="C49" s="220"/>
      <c r="D49" s="220"/>
      <c r="E49" s="220"/>
      <c r="F49" s="144">
        <v>7108.9</v>
      </c>
      <c r="G49" s="155">
        <f>7500-F49</f>
        <v>391.10000000000036</v>
      </c>
      <c r="H49" s="213">
        <v>0</v>
      </c>
      <c r="I49" s="140">
        <v>0</v>
      </c>
      <c r="J49" s="144">
        <v>0</v>
      </c>
      <c r="K49" s="156">
        <v>0</v>
      </c>
      <c r="L49" s="213">
        <v>0</v>
      </c>
      <c r="M49" s="140">
        <v>0</v>
      </c>
      <c r="N49" s="156">
        <v>0</v>
      </c>
      <c r="O49" s="140">
        <v>0</v>
      </c>
      <c r="P49" s="213">
        <v>0</v>
      </c>
      <c r="Q49" s="140">
        <v>0</v>
      </c>
      <c r="R49" s="141">
        <v>2023</v>
      </c>
      <c r="S49" s="141">
        <v>2023</v>
      </c>
      <c r="T49" s="141" t="s">
        <v>105</v>
      </c>
      <c r="U49" s="141" t="s">
        <v>105</v>
      </c>
      <c r="V49" s="141" t="s">
        <v>105</v>
      </c>
      <c r="W49" s="141" t="s">
        <v>105</v>
      </c>
      <c r="X49" s="141" t="s">
        <v>105</v>
      </c>
      <c r="Y49" s="141" t="s">
        <v>105</v>
      </c>
      <c r="Z49" s="140">
        <v>7500</v>
      </c>
      <c r="AA49" s="152" t="s">
        <v>15</v>
      </c>
      <c r="AB49" s="152" t="s">
        <v>15</v>
      </c>
      <c r="AC49" s="152" t="s">
        <v>15</v>
      </c>
    </row>
    <row r="50" spans="1:29" s="100" customFormat="1" ht="45" customHeight="1" x14ac:dyDescent="0.25">
      <c r="A50" s="157" t="s">
        <v>1015</v>
      </c>
      <c r="B50" s="154" t="s">
        <v>966</v>
      </c>
      <c r="C50" s="220" t="s">
        <v>4</v>
      </c>
      <c r="D50" s="220" t="s">
        <v>425</v>
      </c>
      <c r="E50" s="220" t="s">
        <v>425</v>
      </c>
      <c r="F50" s="144">
        <v>0</v>
      </c>
      <c r="G50" s="155">
        <v>0</v>
      </c>
      <c r="H50" s="213">
        <v>0</v>
      </c>
      <c r="I50" s="140">
        <v>0</v>
      </c>
      <c r="J50" s="144">
        <v>0</v>
      </c>
      <c r="K50" s="156">
        <v>0</v>
      </c>
      <c r="L50" s="213">
        <v>0</v>
      </c>
      <c r="M50" s="140">
        <v>0</v>
      </c>
      <c r="N50" s="144">
        <v>7108.9</v>
      </c>
      <c r="O50" s="155">
        <f>7500-N50</f>
        <v>391.10000000000036</v>
      </c>
      <c r="P50" s="213">
        <v>0</v>
      </c>
      <c r="Q50" s="140">
        <v>0</v>
      </c>
      <c r="R50" s="141">
        <v>2025</v>
      </c>
      <c r="S50" s="141">
        <v>2025</v>
      </c>
      <c r="T50" s="141" t="s">
        <v>105</v>
      </c>
      <c r="U50" s="141" t="s">
        <v>105</v>
      </c>
      <c r="V50" s="141" t="s">
        <v>105</v>
      </c>
      <c r="W50" s="141" t="s">
        <v>105</v>
      </c>
      <c r="X50" s="141" t="s">
        <v>105</v>
      </c>
      <c r="Y50" s="141" t="s">
        <v>105</v>
      </c>
      <c r="Z50" s="140">
        <v>7500</v>
      </c>
      <c r="AA50" s="152" t="s">
        <v>15</v>
      </c>
      <c r="AB50" s="152" t="s">
        <v>15</v>
      </c>
      <c r="AC50" s="152" t="s">
        <v>15</v>
      </c>
    </row>
    <row r="51" spans="1:29" s="100" customFormat="1" ht="50.25" customHeight="1" x14ac:dyDescent="0.25">
      <c r="A51" s="157" t="s">
        <v>1016</v>
      </c>
      <c r="B51" s="154" t="s">
        <v>967</v>
      </c>
      <c r="C51" s="220"/>
      <c r="D51" s="220"/>
      <c r="E51" s="220"/>
      <c r="F51" s="144">
        <v>7108.9</v>
      </c>
      <c r="G51" s="155">
        <f t="shared" ref="G51:G65" si="23">7500-F51</f>
        <v>391.10000000000036</v>
      </c>
      <c r="H51" s="213">
        <v>0</v>
      </c>
      <c r="I51" s="140">
        <v>0</v>
      </c>
      <c r="J51" s="144">
        <v>0</v>
      </c>
      <c r="K51" s="156">
        <v>0</v>
      </c>
      <c r="L51" s="213">
        <v>0</v>
      </c>
      <c r="M51" s="140">
        <v>0</v>
      </c>
      <c r="N51" s="156">
        <v>0</v>
      </c>
      <c r="O51" s="140">
        <v>0</v>
      </c>
      <c r="P51" s="213">
        <v>0</v>
      </c>
      <c r="Q51" s="140">
        <v>0</v>
      </c>
      <c r="R51" s="141">
        <v>2023</v>
      </c>
      <c r="S51" s="141">
        <v>2023</v>
      </c>
      <c r="T51" s="141" t="s">
        <v>105</v>
      </c>
      <c r="U51" s="141" t="s">
        <v>105</v>
      </c>
      <c r="V51" s="141" t="s">
        <v>105</v>
      </c>
      <c r="W51" s="141" t="s">
        <v>105</v>
      </c>
      <c r="X51" s="141" t="s">
        <v>105</v>
      </c>
      <c r="Y51" s="141" t="s">
        <v>105</v>
      </c>
      <c r="Z51" s="140">
        <v>7500</v>
      </c>
      <c r="AA51" s="152" t="s">
        <v>15</v>
      </c>
      <c r="AB51" s="152" t="s">
        <v>15</v>
      </c>
      <c r="AC51" s="152" t="s">
        <v>15</v>
      </c>
    </row>
    <row r="52" spans="1:29" s="100" customFormat="1" ht="62.25" customHeight="1" x14ac:dyDescent="0.25">
      <c r="A52" s="157" t="s">
        <v>1017</v>
      </c>
      <c r="B52" s="154" t="s">
        <v>968</v>
      </c>
      <c r="C52" s="205" t="s">
        <v>4</v>
      </c>
      <c r="D52" s="205" t="s">
        <v>425</v>
      </c>
      <c r="E52" s="205" t="s">
        <v>425</v>
      </c>
      <c r="F52" s="144">
        <v>7108.9</v>
      </c>
      <c r="G52" s="155">
        <f t="shared" si="23"/>
        <v>391.10000000000036</v>
      </c>
      <c r="H52" s="213">
        <v>0</v>
      </c>
      <c r="I52" s="140">
        <v>0</v>
      </c>
      <c r="J52" s="144">
        <v>0</v>
      </c>
      <c r="K52" s="156">
        <v>0</v>
      </c>
      <c r="L52" s="213">
        <v>0</v>
      </c>
      <c r="M52" s="140">
        <v>0</v>
      </c>
      <c r="N52" s="156">
        <v>0</v>
      </c>
      <c r="O52" s="140">
        <v>0</v>
      </c>
      <c r="P52" s="213">
        <v>0</v>
      </c>
      <c r="Q52" s="140">
        <v>0</v>
      </c>
      <c r="R52" s="141">
        <v>2023</v>
      </c>
      <c r="S52" s="141">
        <v>2023</v>
      </c>
      <c r="T52" s="141" t="s">
        <v>105</v>
      </c>
      <c r="U52" s="141" t="s">
        <v>105</v>
      </c>
      <c r="V52" s="141" t="s">
        <v>105</v>
      </c>
      <c r="W52" s="141" t="s">
        <v>105</v>
      </c>
      <c r="X52" s="141" t="s">
        <v>105</v>
      </c>
      <c r="Y52" s="141" t="s">
        <v>105</v>
      </c>
      <c r="Z52" s="140">
        <v>7500</v>
      </c>
      <c r="AA52" s="152" t="s">
        <v>15</v>
      </c>
      <c r="AB52" s="152" t="s">
        <v>15</v>
      </c>
      <c r="AC52" s="152" t="s">
        <v>15</v>
      </c>
    </row>
    <row r="53" spans="1:29" s="100" customFormat="1" ht="60" customHeight="1" x14ac:dyDescent="0.25">
      <c r="A53" s="157" t="s">
        <v>1018</v>
      </c>
      <c r="B53" s="154" t="s">
        <v>835</v>
      </c>
      <c r="C53" s="205" t="s">
        <v>4</v>
      </c>
      <c r="D53" s="205" t="s">
        <v>425</v>
      </c>
      <c r="E53" s="205" t="s">
        <v>425</v>
      </c>
      <c r="F53" s="144">
        <v>7108.9</v>
      </c>
      <c r="G53" s="155">
        <f t="shared" si="23"/>
        <v>391.10000000000036</v>
      </c>
      <c r="H53" s="213">
        <v>0</v>
      </c>
      <c r="I53" s="140">
        <v>0</v>
      </c>
      <c r="J53" s="144">
        <v>0</v>
      </c>
      <c r="K53" s="156">
        <v>0</v>
      </c>
      <c r="L53" s="213">
        <v>0</v>
      </c>
      <c r="M53" s="140">
        <v>0</v>
      </c>
      <c r="N53" s="156">
        <v>0</v>
      </c>
      <c r="O53" s="140">
        <v>0</v>
      </c>
      <c r="P53" s="213">
        <v>0</v>
      </c>
      <c r="Q53" s="140">
        <v>0</v>
      </c>
      <c r="R53" s="141">
        <v>2023</v>
      </c>
      <c r="S53" s="141">
        <v>2023</v>
      </c>
      <c r="T53" s="141" t="s">
        <v>105</v>
      </c>
      <c r="U53" s="141" t="s">
        <v>105</v>
      </c>
      <c r="V53" s="141" t="s">
        <v>105</v>
      </c>
      <c r="W53" s="141" t="s">
        <v>105</v>
      </c>
      <c r="X53" s="141" t="s">
        <v>105</v>
      </c>
      <c r="Y53" s="141" t="s">
        <v>105</v>
      </c>
      <c r="Z53" s="140">
        <v>7500</v>
      </c>
      <c r="AA53" s="152" t="s">
        <v>15</v>
      </c>
      <c r="AB53" s="152" t="s">
        <v>15</v>
      </c>
      <c r="AC53" s="152" t="s">
        <v>15</v>
      </c>
    </row>
    <row r="54" spans="1:29" s="100" customFormat="1" ht="46.5" customHeight="1" x14ac:dyDescent="0.25">
      <c r="A54" s="157" t="s">
        <v>1019</v>
      </c>
      <c r="B54" s="154" t="s">
        <v>969</v>
      </c>
      <c r="C54" s="220" t="s">
        <v>4</v>
      </c>
      <c r="D54" s="220" t="s">
        <v>425</v>
      </c>
      <c r="E54" s="220" t="s">
        <v>425</v>
      </c>
      <c r="F54" s="144">
        <v>7108.9</v>
      </c>
      <c r="G54" s="155">
        <f t="shared" si="23"/>
        <v>391.10000000000036</v>
      </c>
      <c r="H54" s="213">
        <v>0</v>
      </c>
      <c r="I54" s="140">
        <v>0</v>
      </c>
      <c r="J54" s="144">
        <v>0</v>
      </c>
      <c r="K54" s="156">
        <v>0</v>
      </c>
      <c r="L54" s="213">
        <v>0</v>
      </c>
      <c r="M54" s="140">
        <v>0</v>
      </c>
      <c r="N54" s="156">
        <v>0</v>
      </c>
      <c r="O54" s="140">
        <v>0</v>
      </c>
      <c r="P54" s="213">
        <v>0</v>
      </c>
      <c r="Q54" s="140">
        <v>0</v>
      </c>
      <c r="R54" s="141">
        <v>2023</v>
      </c>
      <c r="S54" s="141">
        <v>2023</v>
      </c>
      <c r="T54" s="141" t="s">
        <v>105</v>
      </c>
      <c r="U54" s="141" t="s">
        <v>105</v>
      </c>
      <c r="V54" s="141" t="s">
        <v>105</v>
      </c>
      <c r="W54" s="141" t="s">
        <v>105</v>
      </c>
      <c r="X54" s="141" t="s">
        <v>105</v>
      </c>
      <c r="Y54" s="141" t="s">
        <v>105</v>
      </c>
      <c r="Z54" s="140">
        <v>7500</v>
      </c>
      <c r="AA54" s="152" t="s">
        <v>15</v>
      </c>
      <c r="AB54" s="152" t="s">
        <v>15</v>
      </c>
      <c r="AC54" s="152" t="s">
        <v>15</v>
      </c>
    </row>
    <row r="55" spans="1:29" s="100" customFormat="1" ht="47.25" customHeight="1" x14ac:dyDescent="0.25">
      <c r="A55" s="157" t="s">
        <v>1020</v>
      </c>
      <c r="B55" s="154" t="s">
        <v>970</v>
      </c>
      <c r="C55" s="220"/>
      <c r="D55" s="220"/>
      <c r="E55" s="220"/>
      <c r="F55" s="144">
        <v>7108.9</v>
      </c>
      <c r="G55" s="155">
        <f t="shared" si="23"/>
        <v>391.10000000000036</v>
      </c>
      <c r="H55" s="213">
        <v>0</v>
      </c>
      <c r="I55" s="140">
        <v>0</v>
      </c>
      <c r="J55" s="144">
        <v>0</v>
      </c>
      <c r="K55" s="156">
        <v>0</v>
      </c>
      <c r="L55" s="213">
        <v>0</v>
      </c>
      <c r="M55" s="140">
        <v>0</v>
      </c>
      <c r="N55" s="156">
        <v>0</v>
      </c>
      <c r="O55" s="140">
        <v>0</v>
      </c>
      <c r="P55" s="213">
        <v>0</v>
      </c>
      <c r="Q55" s="140">
        <v>0</v>
      </c>
      <c r="R55" s="141">
        <v>2023</v>
      </c>
      <c r="S55" s="141">
        <v>2023</v>
      </c>
      <c r="T55" s="141" t="s">
        <v>105</v>
      </c>
      <c r="U55" s="141" t="s">
        <v>105</v>
      </c>
      <c r="V55" s="141" t="s">
        <v>105</v>
      </c>
      <c r="W55" s="141" t="s">
        <v>105</v>
      </c>
      <c r="X55" s="141" t="s">
        <v>105</v>
      </c>
      <c r="Y55" s="141" t="s">
        <v>105</v>
      </c>
      <c r="Z55" s="140">
        <v>7500</v>
      </c>
      <c r="AA55" s="152" t="s">
        <v>15</v>
      </c>
      <c r="AB55" s="152" t="s">
        <v>15</v>
      </c>
      <c r="AC55" s="152" t="s">
        <v>15</v>
      </c>
    </row>
    <row r="56" spans="1:29" s="100" customFormat="1" ht="51.75" customHeight="1" x14ac:dyDescent="0.25">
      <c r="A56" s="157" t="s">
        <v>1021</v>
      </c>
      <c r="B56" s="154" t="s">
        <v>971</v>
      </c>
      <c r="C56" s="220" t="s">
        <v>4</v>
      </c>
      <c r="D56" s="220" t="s">
        <v>425</v>
      </c>
      <c r="E56" s="220" t="s">
        <v>425</v>
      </c>
      <c r="F56" s="144">
        <v>7108.9</v>
      </c>
      <c r="G56" s="155">
        <f t="shared" si="23"/>
        <v>391.10000000000036</v>
      </c>
      <c r="H56" s="213">
        <v>0</v>
      </c>
      <c r="I56" s="140">
        <v>0</v>
      </c>
      <c r="J56" s="144">
        <v>0</v>
      </c>
      <c r="K56" s="156">
        <v>0</v>
      </c>
      <c r="L56" s="213">
        <v>0</v>
      </c>
      <c r="M56" s="140">
        <v>0</v>
      </c>
      <c r="N56" s="156">
        <v>0</v>
      </c>
      <c r="O56" s="140">
        <v>0</v>
      </c>
      <c r="P56" s="213">
        <v>0</v>
      </c>
      <c r="Q56" s="140">
        <v>0</v>
      </c>
      <c r="R56" s="141">
        <v>2023</v>
      </c>
      <c r="S56" s="141">
        <v>2023</v>
      </c>
      <c r="T56" s="141" t="s">
        <v>105</v>
      </c>
      <c r="U56" s="141" t="s">
        <v>105</v>
      </c>
      <c r="V56" s="141" t="s">
        <v>105</v>
      </c>
      <c r="W56" s="141" t="s">
        <v>105</v>
      </c>
      <c r="X56" s="141" t="s">
        <v>105</v>
      </c>
      <c r="Y56" s="141" t="s">
        <v>105</v>
      </c>
      <c r="Z56" s="140">
        <v>7500</v>
      </c>
      <c r="AA56" s="152" t="s">
        <v>15</v>
      </c>
      <c r="AB56" s="152" t="s">
        <v>15</v>
      </c>
      <c r="AC56" s="152" t="s">
        <v>15</v>
      </c>
    </row>
    <row r="57" spans="1:29" s="100" customFormat="1" ht="49.5" customHeight="1" x14ac:dyDescent="0.25">
      <c r="A57" s="157" t="s">
        <v>1022</v>
      </c>
      <c r="B57" s="154" t="s">
        <v>972</v>
      </c>
      <c r="C57" s="220"/>
      <c r="D57" s="220"/>
      <c r="E57" s="220"/>
      <c r="F57" s="144">
        <v>7108.9</v>
      </c>
      <c r="G57" s="155">
        <f t="shared" si="23"/>
        <v>391.10000000000036</v>
      </c>
      <c r="H57" s="213">
        <v>0</v>
      </c>
      <c r="I57" s="140">
        <v>0</v>
      </c>
      <c r="J57" s="144">
        <v>0</v>
      </c>
      <c r="K57" s="156">
        <v>0</v>
      </c>
      <c r="L57" s="213">
        <v>0</v>
      </c>
      <c r="M57" s="140">
        <v>0</v>
      </c>
      <c r="N57" s="156">
        <v>0</v>
      </c>
      <c r="O57" s="140">
        <v>0</v>
      </c>
      <c r="P57" s="213">
        <v>0</v>
      </c>
      <c r="Q57" s="140">
        <v>0</v>
      </c>
      <c r="R57" s="141">
        <v>2023</v>
      </c>
      <c r="S57" s="141">
        <v>2023</v>
      </c>
      <c r="T57" s="141" t="s">
        <v>105</v>
      </c>
      <c r="U57" s="141" t="s">
        <v>105</v>
      </c>
      <c r="V57" s="141" t="s">
        <v>105</v>
      </c>
      <c r="W57" s="141" t="s">
        <v>105</v>
      </c>
      <c r="X57" s="141" t="s">
        <v>105</v>
      </c>
      <c r="Y57" s="141" t="s">
        <v>105</v>
      </c>
      <c r="Z57" s="140">
        <v>7500</v>
      </c>
      <c r="AA57" s="152" t="s">
        <v>15</v>
      </c>
      <c r="AB57" s="152" t="s">
        <v>15</v>
      </c>
      <c r="AC57" s="152" t="s">
        <v>15</v>
      </c>
    </row>
    <row r="58" spans="1:29" s="100" customFormat="1" ht="48" customHeight="1" x14ac:dyDescent="0.25">
      <c r="A58" s="157" t="s">
        <v>1023</v>
      </c>
      <c r="B58" s="154" t="s">
        <v>973</v>
      </c>
      <c r="C58" s="220" t="s">
        <v>4</v>
      </c>
      <c r="D58" s="220" t="s">
        <v>425</v>
      </c>
      <c r="E58" s="220" t="s">
        <v>425</v>
      </c>
      <c r="F58" s="144">
        <v>7108.9</v>
      </c>
      <c r="G58" s="155">
        <f t="shared" si="23"/>
        <v>391.10000000000036</v>
      </c>
      <c r="H58" s="213">
        <v>0</v>
      </c>
      <c r="I58" s="140">
        <v>0</v>
      </c>
      <c r="J58" s="144">
        <v>0</v>
      </c>
      <c r="K58" s="156">
        <v>0</v>
      </c>
      <c r="L58" s="213">
        <v>0</v>
      </c>
      <c r="M58" s="140">
        <v>0</v>
      </c>
      <c r="N58" s="156">
        <v>0</v>
      </c>
      <c r="O58" s="140">
        <v>0</v>
      </c>
      <c r="P58" s="213">
        <v>0</v>
      </c>
      <c r="Q58" s="140">
        <v>0</v>
      </c>
      <c r="R58" s="141">
        <v>2023</v>
      </c>
      <c r="S58" s="141">
        <v>2023</v>
      </c>
      <c r="T58" s="141" t="s">
        <v>105</v>
      </c>
      <c r="U58" s="141" t="s">
        <v>105</v>
      </c>
      <c r="V58" s="141" t="s">
        <v>105</v>
      </c>
      <c r="W58" s="141" t="s">
        <v>105</v>
      </c>
      <c r="X58" s="141" t="s">
        <v>105</v>
      </c>
      <c r="Y58" s="141" t="s">
        <v>105</v>
      </c>
      <c r="Z58" s="140">
        <v>7500</v>
      </c>
      <c r="AA58" s="152" t="s">
        <v>15</v>
      </c>
      <c r="AB58" s="152" t="s">
        <v>15</v>
      </c>
      <c r="AC58" s="152" t="s">
        <v>15</v>
      </c>
    </row>
    <row r="59" spans="1:29" s="100" customFormat="1" ht="45" customHeight="1" x14ac:dyDescent="0.25">
      <c r="A59" s="157" t="s">
        <v>1024</v>
      </c>
      <c r="B59" s="154" t="s">
        <v>974</v>
      </c>
      <c r="C59" s="220"/>
      <c r="D59" s="220"/>
      <c r="E59" s="220"/>
      <c r="F59" s="144">
        <v>7108.9</v>
      </c>
      <c r="G59" s="155">
        <f t="shared" si="23"/>
        <v>391.10000000000036</v>
      </c>
      <c r="H59" s="213">
        <v>0</v>
      </c>
      <c r="I59" s="140">
        <v>0</v>
      </c>
      <c r="J59" s="144">
        <v>0</v>
      </c>
      <c r="K59" s="156">
        <v>0</v>
      </c>
      <c r="L59" s="213">
        <v>0</v>
      </c>
      <c r="M59" s="140">
        <v>0</v>
      </c>
      <c r="N59" s="156">
        <v>0</v>
      </c>
      <c r="O59" s="140">
        <v>0</v>
      </c>
      <c r="P59" s="213">
        <v>0</v>
      </c>
      <c r="Q59" s="140">
        <v>0</v>
      </c>
      <c r="R59" s="141">
        <v>2023</v>
      </c>
      <c r="S59" s="141">
        <v>2023</v>
      </c>
      <c r="T59" s="141" t="s">
        <v>105</v>
      </c>
      <c r="U59" s="141" t="s">
        <v>105</v>
      </c>
      <c r="V59" s="141" t="s">
        <v>105</v>
      </c>
      <c r="W59" s="141" t="s">
        <v>105</v>
      </c>
      <c r="X59" s="141" t="s">
        <v>105</v>
      </c>
      <c r="Y59" s="141" t="s">
        <v>105</v>
      </c>
      <c r="Z59" s="140">
        <v>7500</v>
      </c>
      <c r="AA59" s="152" t="s">
        <v>15</v>
      </c>
      <c r="AB59" s="152" t="s">
        <v>15</v>
      </c>
      <c r="AC59" s="152" t="s">
        <v>15</v>
      </c>
    </row>
    <row r="60" spans="1:29" s="100" customFormat="1" ht="50.25" customHeight="1" x14ac:dyDescent="0.25">
      <c r="A60" s="157" t="s">
        <v>1025</v>
      </c>
      <c r="B60" s="154" t="s">
        <v>975</v>
      </c>
      <c r="C60" s="220" t="s">
        <v>4</v>
      </c>
      <c r="D60" s="220" t="s">
        <v>425</v>
      </c>
      <c r="E60" s="220" t="s">
        <v>425</v>
      </c>
      <c r="F60" s="144">
        <v>7108.9</v>
      </c>
      <c r="G60" s="155">
        <f t="shared" si="23"/>
        <v>391.10000000000036</v>
      </c>
      <c r="H60" s="213">
        <v>0</v>
      </c>
      <c r="I60" s="140">
        <v>0</v>
      </c>
      <c r="J60" s="144">
        <v>0</v>
      </c>
      <c r="K60" s="156">
        <v>0</v>
      </c>
      <c r="L60" s="213">
        <v>0</v>
      </c>
      <c r="M60" s="140">
        <v>0</v>
      </c>
      <c r="N60" s="156">
        <v>0</v>
      </c>
      <c r="O60" s="140">
        <v>0</v>
      </c>
      <c r="P60" s="213">
        <v>0</v>
      </c>
      <c r="Q60" s="140">
        <v>0</v>
      </c>
      <c r="R60" s="141">
        <v>2023</v>
      </c>
      <c r="S60" s="141">
        <v>2023</v>
      </c>
      <c r="T60" s="141" t="s">
        <v>105</v>
      </c>
      <c r="U60" s="141" t="s">
        <v>105</v>
      </c>
      <c r="V60" s="141" t="s">
        <v>105</v>
      </c>
      <c r="W60" s="141" t="s">
        <v>105</v>
      </c>
      <c r="X60" s="141" t="s">
        <v>105</v>
      </c>
      <c r="Y60" s="141" t="s">
        <v>105</v>
      </c>
      <c r="Z60" s="140">
        <v>7500</v>
      </c>
      <c r="AA60" s="152" t="s">
        <v>15</v>
      </c>
      <c r="AB60" s="152" t="s">
        <v>15</v>
      </c>
      <c r="AC60" s="152" t="s">
        <v>15</v>
      </c>
    </row>
    <row r="61" spans="1:29" s="100" customFormat="1" ht="51.75" customHeight="1" x14ac:dyDescent="0.25">
      <c r="A61" s="157" t="s">
        <v>1026</v>
      </c>
      <c r="B61" s="154" t="s">
        <v>976</v>
      </c>
      <c r="C61" s="220"/>
      <c r="D61" s="220"/>
      <c r="E61" s="220"/>
      <c r="F61" s="144">
        <v>7108.9</v>
      </c>
      <c r="G61" s="155">
        <f t="shared" si="23"/>
        <v>391.10000000000036</v>
      </c>
      <c r="H61" s="213">
        <v>0</v>
      </c>
      <c r="I61" s="140">
        <v>0</v>
      </c>
      <c r="J61" s="144">
        <v>0</v>
      </c>
      <c r="K61" s="156">
        <v>0</v>
      </c>
      <c r="L61" s="213">
        <v>0</v>
      </c>
      <c r="M61" s="140">
        <v>0</v>
      </c>
      <c r="N61" s="156">
        <v>0</v>
      </c>
      <c r="O61" s="140">
        <v>0</v>
      </c>
      <c r="P61" s="213">
        <v>0</v>
      </c>
      <c r="Q61" s="140">
        <v>0</v>
      </c>
      <c r="R61" s="141">
        <v>2023</v>
      </c>
      <c r="S61" s="141">
        <v>2023</v>
      </c>
      <c r="T61" s="141" t="s">
        <v>105</v>
      </c>
      <c r="U61" s="141" t="s">
        <v>105</v>
      </c>
      <c r="V61" s="141" t="s">
        <v>105</v>
      </c>
      <c r="W61" s="141" t="s">
        <v>105</v>
      </c>
      <c r="X61" s="141" t="s">
        <v>105</v>
      </c>
      <c r="Y61" s="141" t="s">
        <v>105</v>
      </c>
      <c r="Z61" s="140">
        <v>7500</v>
      </c>
      <c r="AA61" s="152" t="s">
        <v>15</v>
      </c>
      <c r="AB61" s="152" t="s">
        <v>15</v>
      </c>
      <c r="AC61" s="152" t="s">
        <v>15</v>
      </c>
    </row>
    <row r="62" spans="1:29" s="100" customFormat="1" ht="62.25" customHeight="1" x14ac:dyDescent="0.25">
      <c r="A62" s="157" t="s">
        <v>1027</v>
      </c>
      <c r="B62" s="154" t="s">
        <v>1168</v>
      </c>
      <c r="C62" s="205" t="s">
        <v>4</v>
      </c>
      <c r="D62" s="205" t="s">
        <v>425</v>
      </c>
      <c r="E62" s="205" t="s">
        <v>425</v>
      </c>
      <c r="F62" s="144">
        <v>7108.9</v>
      </c>
      <c r="G62" s="155">
        <f t="shared" si="23"/>
        <v>391.10000000000036</v>
      </c>
      <c r="H62" s="213">
        <v>0</v>
      </c>
      <c r="I62" s="140">
        <v>0</v>
      </c>
      <c r="J62" s="144">
        <v>0</v>
      </c>
      <c r="K62" s="156">
        <v>0</v>
      </c>
      <c r="L62" s="213">
        <v>0</v>
      </c>
      <c r="M62" s="140">
        <v>0</v>
      </c>
      <c r="N62" s="156">
        <v>0</v>
      </c>
      <c r="O62" s="140">
        <v>0</v>
      </c>
      <c r="P62" s="213">
        <v>0</v>
      </c>
      <c r="Q62" s="140">
        <v>0</v>
      </c>
      <c r="R62" s="141">
        <v>2023</v>
      </c>
      <c r="S62" s="141">
        <v>2023</v>
      </c>
      <c r="T62" s="141" t="s">
        <v>105</v>
      </c>
      <c r="U62" s="141" t="s">
        <v>105</v>
      </c>
      <c r="V62" s="141" t="s">
        <v>105</v>
      </c>
      <c r="W62" s="141" t="s">
        <v>105</v>
      </c>
      <c r="X62" s="141" t="s">
        <v>105</v>
      </c>
      <c r="Y62" s="141" t="s">
        <v>105</v>
      </c>
      <c r="Z62" s="140">
        <v>7500</v>
      </c>
      <c r="AA62" s="152" t="s">
        <v>15</v>
      </c>
      <c r="AB62" s="152" t="s">
        <v>15</v>
      </c>
      <c r="AC62" s="152" t="s">
        <v>15</v>
      </c>
    </row>
    <row r="63" spans="1:29" s="100" customFormat="1" ht="42" customHeight="1" x14ac:dyDescent="0.25">
      <c r="A63" s="157" t="s">
        <v>1028</v>
      </c>
      <c r="B63" s="154" t="s">
        <v>977</v>
      </c>
      <c r="C63" s="220" t="s">
        <v>4</v>
      </c>
      <c r="D63" s="220" t="s">
        <v>425</v>
      </c>
      <c r="E63" s="220" t="s">
        <v>425</v>
      </c>
      <c r="F63" s="144">
        <v>7108.9</v>
      </c>
      <c r="G63" s="155">
        <f t="shared" si="23"/>
        <v>391.10000000000036</v>
      </c>
      <c r="H63" s="213">
        <v>0</v>
      </c>
      <c r="I63" s="140">
        <v>0</v>
      </c>
      <c r="J63" s="144">
        <v>0</v>
      </c>
      <c r="K63" s="156">
        <v>0</v>
      </c>
      <c r="L63" s="213">
        <v>0</v>
      </c>
      <c r="M63" s="140">
        <v>0</v>
      </c>
      <c r="N63" s="156">
        <v>0</v>
      </c>
      <c r="O63" s="140">
        <v>0</v>
      </c>
      <c r="P63" s="213">
        <v>0</v>
      </c>
      <c r="Q63" s="140">
        <v>0</v>
      </c>
      <c r="R63" s="141">
        <v>2023</v>
      </c>
      <c r="S63" s="141">
        <v>2023</v>
      </c>
      <c r="T63" s="141" t="s">
        <v>105</v>
      </c>
      <c r="U63" s="141" t="s">
        <v>105</v>
      </c>
      <c r="V63" s="141" t="s">
        <v>105</v>
      </c>
      <c r="W63" s="141" t="s">
        <v>105</v>
      </c>
      <c r="X63" s="141" t="s">
        <v>105</v>
      </c>
      <c r="Y63" s="141" t="s">
        <v>105</v>
      </c>
      <c r="Z63" s="140">
        <v>7500</v>
      </c>
      <c r="AA63" s="152" t="s">
        <v>15</v>
      </c>
      <c r="AB63" s="152" t="s">
        <v>15</v>
      </c>
      <c r="AC63" s="152" t="s">
        <v>15</v>
      </c>
    </row>
    <row r="64" spans="1:29" s="100" customFormat="1" ht="46.5" customHeight="1" x14ac:dyDescent="0.25">
      <c r="A64" s="157" t="s">
        <v>1029</v>
      </c>
      <c r="B64" s="154" t="s">
        <v>1167</v>
      </c>
      <c r="C64" s="220"/>
      <c r="D64" s="220"/>
      <c r="E64" s="220"/>
      <c r="F64" s="144">
        <v>7108.9</v>
      </c>
      <c r="G64" s="155">
        <f t="shared" si="23"/>
        <v>391.10000000000036</v>
      </c>
      <c r="H64" s="213">
        <v>0</v>
      </c>
      <c r="I64" s="140">
        <v>0</v>
      </c>
      <c r="J64" s="144">
        <v>0</v>
      </c>
      <c r="K64" s="156">
        <v>0</v>
      </c>
      <c r="L64" s="213">
        <v>0</v>
      </c>
      <c r="M64" s="140">
        <v>0</v>
      </c>
      <c r="N64" s="156">
        <v>0</v>
      </c>
      <c r="O64" s="140">
        <v>0</v>
      </c>
      <c r="P64" s="213">
        <v>0</v>
      </c>
      <c r="Q64" s="140">
        <v>0</v>
      </c>
      <c r="R64" s="141">
        <v>2023</v>
      </c>
      <c r="S64" s="141">
        <v>2023</v>
      </c>
      <c r="T64" s="141" t="s">
        <v>105</v>
      </c>
      <c r="U64" s="141" t="s">
        <v>105</v>
      </c>
      <c r="V64" s="141" t="s">
        <v>105</v>
      </c>
      <c r="W64" s="141" t="s">
        <v>105</v>
      </c>
      <c r="X64" s="141" t="s">
        <v>105</v>
      </c>
      <c r="Y64" s="141" t="s">
        <v>105</v>
      </c>
      <c r="Z64" s="140">
        <v>7500</v>
      </c>
      <c r="AA64" s="152" t="s">
        <v>15</v>
      </c>
      <c r="AB64" s="152" t="s">
        <v>15</v>
      </c>
      <c r="AC64" s="152" t="s">
        <v>15</v>
      </c>
    </row>
    <row r="65" spans="1:29" s="100" customFormat="1" ht="51.75" customHeight="1" x14ac:dyDescent="0.25">
      <c r="A65" s="157" t="s">
        <v>1030</v>
      </c>
      <c r="B65" s="154" t="s">
        <v>836</v>
      </c>
      <c r="C65" s="220" t="s">
        <v>4</v>
      </c>
      <c r="D65" s="220" t="s">
        <v>425</v>
      </c>
      <c r="E65" s="220" t="s">
        <v>425</v>
      </c>
      <c r="F65" s="144">
        <v>7108.9</v>
      </c>
      <c r="G65" s="155">
        <f t="shared" si="23"/>
        <v>391.10000000000036</v>
      </c>
      <c r="H65" s="213">
        <v>0</v>
      </c>
      <c r="I65" s="140">
        <v>0</v>
      </c>
      <c r="J65" s="144">
        <v>0</v>
      </c>
      <c r="K65" s="156">
        <v>0</v>
      </c>
      <c r="L65" s="213">
        <v>0</v>
      </c>
      <c r="M65" s="140">
        <v>0</v>
      </c>
      <c r="N65" s="156">
        <v>0</v>
      </c>
      <c r="O65" s="140">
        <v>0</v>
      </c>
      <c r="P65" s="213">
        <v>0</v>
      </c>
      <c r="Q65" s="140">
        <v>0</v>
      </c>
      <c r="R65" s="141">
        <v>2023</v>
      </c>
      <c r="S65" s="141">
        <v>2023</v>
      </c>
      <c r="T65" s="141" t="s">
        <v>105</v>
      </c>
      <c r="U65" s="141" t="s">
        <v>105</v>
      </c>
      <c r="V65" s="141" t="s">
        <v>105</v>
      </c>
      <c r="W65" s="141" t="s">
        <v>105</v>
      </c>
      <c r="X65" s="141" t="s">
        <v>105</v>
      </c>
      <c r="Y65" s="141" t="s">
        <v>105</v>
      </c>
      <c r="Z65" s="140">
        <v>7500</v>
      </c>
      <c r="AA65" s="152" t="s">
        <v>15</v>
      </c>
      <c r="AB65" s="152" t="s">
        <v>15</v>
      </c>
      <c r="AC65" s="152" t="s">
        <v>15</v>
      </c>
    </row>
    <row r="66" spans="1:29" s="100" customFormat="1" ht="42.75" customHeight="1" x14ac:dyDescent="0.25">
      <c r="A66" s="157" t="s">
        <v>1031</v>
      </c>
      <c r="B66" s="154" t="s">
        <v>837</v>
      </c>
      <c r="C66" s="220"/>
      <c r="D66" s="220"/>
      <c r="E66" s="220"/>
      <c r="F66" s="144">
        <v>0</v>
      </c>
      <c r="G66" s="155">
        <v>0</v>
      </c>
      <c r="H66" s="213">
        <v>0</v>
      </c>
      <c r="I66" s="140">
        <v>0</v>
      </c>
      <c r="J66" s="144">
        <v>0</v>
      </c>
      <c r="K66" s="156">
        <v>0</v>
      </c>
      <c r="L66" s="213">
        <v>0</v>
      </c>
      <c r="M66" s="140">
        <v>0</v>
      </c>
      <c r="N66" s="144">
        <v>7108.9</v>
      </c>
      <c r="O66" s="155">
        <f>7500-N66</f>
        <v>391.10000000000036</v>
      </c>
      <c r="P66" s="213">
        <v>0</v>
      </c>
      <c r="Q66" s="140">
        <v>0</v>
      </c>
      <c r="R66" s="141">
        <v>2025</v>
      </c>
      <c r="S66" s="141">
        <v>2025</v>
      </c>
      <c r="T66" s="141" t="s">
        <v>105</v>
      </c>
      <c r="U66" s="141" t="s">
        <v>105</v>
      </c>
      <c r="V66" s="141" t="s">
        <v>105</v>
      </c>
      <c r="W66" s="141" t="s">
        <v>105</v>
      </c>
      <c r="X66" s="141" t="s">
        <v>105</v>
      </c>
      <c r="Y66" s="141" t="s">
        <v>105</v>
      </c>
      <c r="Z66" s="140">
        <v>7500</v>
      </c>
      <c r="AA66" s="152" t="s">
        <v>15</v>
      </c>
      <c r="AB66" s="152" t="s">
        <v>15</v>
      </c>
      <c r="AC66" s="152" t="s">
        <v>15</v>
      </c>
    </row>
    <row r="67" spans="1:29" s="100" customFormat="1" ht="43.5" customHeight="1" x14ac:dyDescent="0.25">
      <c r="A67" s="157" t="s">
        <v>1032</v>
      </c>
      <c r="B67" s="154" t="s">
        <v>838</v>
      </c>
      <c r="C67" s="220" t="s">
        <v>4</v>
      </c>
      <c r="D67" s="220" t="s">
        <v>425</v>
      </c>
      <c r="E67" s="220" t="s">
        <v>425</v>
      </c>
      <c r="F67" s="144">
        <v>0</v>
      </c>
      <c r="G67" s="155">
        <v>0</v>
      </c>
      <c r="H67" s="213">
        <v>0</v>
      </c>
      <c r="I67" s="140">
        <v>0</v>
      </c>
      <c r="J67" s="144">
        <v>33174.9</v>
      </c>
      <c r="K67" s="156">
        <f>35000-J67</f>
        <v>1825.0999999999985</v>
      </c>
      <c r="L67" s="213">
        <v>0</v>
      </c>
      <c r="M67" s="140">
        <v>0</v>
      </c>
      <c r="N67" s="156">
        <v>0</v>
      </c>
      <c r="O67" s="140">
        <v>0</v>
      </c>
      <c r="P67" s="213">
        <v>0</v>
      </c>
      <c r="Q67" s="140">
        <v>0</v>
      </c>
      <c r="R67" s="141">
        <v>2024</v>
      </c>
      <c r="S67" s="141">
        <v>2024</v>
      </c>
      <c r="T67" s="141" t="s">
        <v>105</v>
      </c>
      <c r="U67" s="141" t="s">
        <v>105</v>
      </c>
      <c r="V67" s="141" t="s">
        <v>105</v>
      </c>
      <c r="W67" s="141" t="s">
        <v>105</v>
      </c>
      <c r="X67" s="141" t="s">
        <v>105</v>
      </c>
      <c r="Y67" s="141" t="s">
        <v>105</v>
      </c>
      <c r="Z67" s="140">
        <v>35000</v>
      </c>
      <c r="AA67" s="152" t="s">
        <v>15</v>
      </c>
      <c r="AB67" s="152" t="s">
        <v>15</v>
      </c>
      <c r="AC67" s="152" t="s">
        <v>15</v>
      </c>
    </row>
    <row r="68" spans="1:29" s="100" customFormat="1" ht="45.75" customHeight="1" x14ac:dyDescent="0.25">
      <c r="A68" s="157" t="s">
        <v>1033</v>
      </c>
      <c r="B68" s="154" t="s">
        <v>834</v>
      </c>
      <c r="C68" s="220"/>
      <c r="D68" s="220"/>
      <c r="E68" s="220"/>
      <c r="F68" s="144">
        <v>0</v>
      </c>
      <c r="G68" s="155">
        <v>0</v>
      </c>
      <c r="H68" s="213">
        <v>0</v>
      </c>
      <c r="I68" s="140">
        <v>0</v>
      </c>
      <c r="J68" s="144">
        <v>0</v>
      </c>
      <c r="K68" s="156">
        <v>0</v>
      </c>
      <c r="L68" s="213">
        <v>0</v>
      </c>
      <c r="M68" s="140">
        <v>0</v>
      </c>
      <c r="N68" s="144">
        <v>33174.9</v>
      </c>
      <c r="O68" s="156">
        <f>35000-N68</f>
        <v>1825.0999999999985</v>
      </c>
      <c r="P68" s="213">
        <v>0</v>
      </c>
      <c r="Q68" s="140">
        <v>0</v>
      </c>
      <c r="R68" s="141">
        <v>2025</v>
      </c>
      <c r="S68" s="141">
        <v>2025</v>
      </c>
      <c r="T68" s="141" t="s">
        <v>105</v>
      </c>
      <c r="U68" s="141" t="s">
        <v>105</v>
      </c>
      <c r="V68" s="141" t="s">
        <v>105</v>
      </c>
      <c r="W68" s="141" t="s">
        <v>105</v>
      </c>
      <c r="X68" s="141" t="s">
        <v>105</v>
      </c>
      <c r="Y68" s="141" t="s">
        <v>105</v>
      </c>
      <c r="Z68" s="140">
        <v>35000</v>
      </c>
      <c r="AA68" s="152" t="s">
        <v>15</v>
      </c>
      <c r="AB68" s="152" t="s">
        <v>15</v>
      </c>
      <c r="AC68" s="152" t="s">
        <v>15</v>
      </c>
    </row>
    <row r="69" spans="1:29" s="100" customFormat="1" ht="47.25" customHeight="1" x14ac:dyDescent="0.25">
      <c r="A69" s="157" t="s">
        <v>1034</v>
      </c>
      <c r="B69" s="154" t="s">
        <v>839</v>
      </c>
      <c r="C69" s="220" t="s">
        <v>4</v>
      </c>
      <c r="D69" s="220" t="s">
        <v>425</v>
      </c>
      <c r="E69" s="220" t="s">
        <v>425</v>
      </c>
      <c r="F69" s="144">
        <v>0</v>
      </c>
      <c r="G69" s="155">
        <v>0</v>
      </c>
      <c r="H69" s="213">
        <v>0</v>
      </c>
      <c r="I69" s="140">
        <v>0</v>
      </c>
      <c r="J69" s="144">
        <v>33174.9</v>
      </c>
      <c r="K69" s="156">
        <f>35000-J69</f>
        <v>1825.0999999999985</v>
      </c>
      <c r="L69" s="213">
        <v>0</v>
      </c>
      <c r="M69" s="140">
        <v>0</v>
      </c>
      <c r="N69" s="156">
        <v>0</v>
      </c>
      <c r="O69" s="140">
        <v>0</v>
      </c>
      <c r="P69" s="213">
        <v>0</v>
      </c>
      <c r="Q69" s="140">
        <v>0</v>
      </c>
      <c r="R69" s="141">
        <v>2024</v>
      </c>
      <c r="S69" s="141">
        <v>2024</v>
      </c>
      <c r="T69" s="141" t="s">
        <v>105</v>
      </c>
      <c r="U69" s="141" t="s">
        <v>105</v>
      </c>
      <c r="V69" s="141" t="s">
        <v>105</v>
      </c>
      <c r="W69" s="141" t="s">
        <v>105</v>
      </c>
      <c r="X69" s="141" t="s">
        <v>105</v>
      </c>
      <c r="Y69" s="141" t="s">
        <v>105</v>
      </c>
      <c r="Z69" s="140">
        <v>35000</v>
      </c>
      <c r="AA69" s="152" t="s">
        <v>15</v>
      </c>
      <c r="AB69" s="152" t="s">
        <v>15</v>
      </c>
      <c r="AC69" s="152" t="s">
        <v>15</v>
      </c>
    </row>
    <row r="70" spans="1:29" s="100" customFormat="1" ht="54" customHeight="1" x14ac:dyDescent="0.25">
      <c r="A70" s="157" t="s">
        <v>1035</v>
      </c>
      <c r="B70" s="154" t="s">
        <v>840</v>
      </c>
      <c r="C70" s="220"/>
      <c r="D70" s="220"/>
      <c r="E70" s="220"/>
      <c r="F70" s="144">
        <v>0</v>
      </c>
      <c r="G70" s="155">
        <v>0</v>
      </c>
      <c r="H70" s="213">
        <v>0</v>
      </c>
      <c r="I70" s="140">
        <v>0</v>
      </c>
      <c r="J70" s="144">
        <v>0</v>
      </c>
      <c r="K70" s="156">
        <v>0</v>
      </c>
      <c r="L70" s="213">
        <v>0</v>
      </c>
      <c r="M70" s="140">
        <v>0</v>
      </c>
      <c r="N70" s="144">
        <v>33174.9</v>
      </c>
      <c r="O70" s="156">
        <f>35000-N70</f>
        <v>1825.0999999999985</v>
      </c>
      <c r="P70" s="213">
        <v>0</v>
      </c>
      <c r="Q70" s="140">
        <v>0</v>
      </c>
      <c r="R70" s="141">
        <v>2025</v>
      </c>
      <c r="S70" s="141">
        <v>2025</v>
      </c>
      <c r="T70" s="141" t="s">
        <v>105</v>
      </c>
      <c r="U70" s="141" t="s">
        <v>105</v>
      </c>
      <c r="V70" s="141" t="s">
        <v>105</v>
      </c>
      <c r="W70" s="141" t="s">
        <v>105</v>
      </c>
      <c r="X70" s="141" t="s">
        <v>105</v>
      </c>
      <c r="Y70" s="141" t="s">
        <v>105</v>
      </c>
      <c r="Z70" s="140">
        <v>35000</v>
      </c>
      <c r="AA70" s="152" t="s">
        <v>15</v>
      </c>
      <c r="AB70" s="152" t="s">
        <v>15</v>
      </c>
      <c r="AC70" s="152" t="s">
        <v>15</v>
      </c>
    </row>
    <row r="71" spans="1:29" s="42" customFormat="1" ht="43.5" customHeight="1" x14ac:dyDescent="0.25">
      <c r="A71" s="51" t="s">
        <v>29</v>
      </c>
      <c r="B71" s="52" t="s">
        <v>91</v>
      </c>
      <c r="C71" s="5" t="s">
        <v>15</v>
      </c>
      <c r="D71" s="5" t="s">
        <v>15</v>
      </c>
      <c r="E71" s="5" t="s">
        <v>15</v>
      </c>
      <c r="F71" s="11">
        <f>F72</f>
        <v>184.4</v>
      </c>
      <c r="G71" s="11">
        <f t="shared" ref="G71:Q71" si="24">G72</f>
        <v>0</v>
      </c>
      <c r="H71" s="11">
        <f t="shared" si="24"/>
        <v>0</v>
      </c>
      <c r="I71" s="11">
        <f t="shared" si="24"/>
        <v>0</v>
      </c>
      <c r="J71" s="11">
        <f t="shared" si="24"/>
        <v>204.9</v>
      </c>
      <c r="K71" s="11">
        <f t="shared" si="24"/>
        <v>0</v>
      </c>
      <c r="L71" s="11">
        <f t="shared" si="24"/>
        <v>0</v>
      </c>
      <c r="M71" s="11">
        <f t="shared" si="24"/>
        <v>0</v>
      </c>
      <c r="N71" s="11">
        <f t="shared" si="24"/>
        <v>0</v>
      </c>
      <c r="O71" s="11">
        <f t="shared" si="24"/>
        <v>0</v>
      </c>
      <c r="P71" s="11">
        <f t="shared" si="24"/>
        <v>0</v>
      </c>
      <c r="Q71" s="11">
        <f t="shared" si="24"/>
        <v>0</v>
      </c>
      <c r="R71" s="5" t="s">
        <v>15</v>
      </c>
      <c r="S71" s="5" t="s">
        <v>15</v>
      </c>
      <c r="T71" s="5" t="s">
        <v>15</v>
      </c>
      <c r="U71" s="5" t="s">
        <v>15</v>
      </c>
      <c r="V71" s="5" t="s">
        <v>15</v>
      </c>
      <c r="W71" s="5" t="s">
        <v>15</v>
      </c>
      <c r="X71" s="5" t="s">
        <v>15</v>
      </c>
      <c r="Y71" s="5" t="s">
        <v>15</v>
      </c>
      <c r="Z71" s="5" t="s">
        <v>15</v>
      </c>
      <c r="AA71" s="5" t="s">
        <v>15</v>
      </c>
      <c r="AB71" s="5" t="s">
        <v>15</v>
      </c>
      <c r="AC71" s="5" t="s">
        <v>15</v>
      </c>
    </row>
    <row r="72" spans="1:29" s="19" customFormat="1" ht="59.25" customHeight="1" x14ac:dyDescent="0.25">
      <c r="A72" s="7" t="s">
        <v>1</v>
      </c>
      <c r="B72" s="53" t="s">
        <v>257</v>
      </c>
      <c r="C72" s="7" t="s">
        <v>15</v>
      </c>
      <c r="D72" s="7" t="s">
        <v>15</v>
      </c>
      <c r="E72" s="7" t="s">
        <v>15</v>
      </c>
      <c r="F72" s="8">
        <f>F73</f>
        <v>184.4</v>
      </c>
      <c r="G72" s="8">
        <f t="shared" ref="G72:Q72" si="25">G73</f>
        <v>0</v>
      </c>
      <c r="H72" s="8">
        <f t="shared" si="25"/>
        <v>0</v>
      </c>
      <c r="I72" s="8">
        <f t="shared" si="25"/>
        <v>0</v>
      </c>
      <c r="J72" s="8">
        <f t="shared" si="25"/>
        <v>204.9</v>
      </c>
      <c r="K72" s="8">
        <f t="shared" si="25"/>
        <v>0</v>
      </c>
      <c r="L72" s="8">
        <f t="shared" si="25"/>
        <v>0</v>
      </c>
      <c r="M72" s="8">
        <f t="shared" si="25"/>
        <v>0</v>
      </c>
      <c r="N72" s="8">
        <f t="shared" si="25"/>
        <v>0</v>
      </c>
      <c r="O72" s="8">
        <f t="shared" si="25"/>
        <v>0</v>
      </c>
      <c r="P72" s="8">
        <f t="shared" si="25"/>
        <v>0</v>
      </c>
      <c r="Q72" s="8">
        <f t="shared" si="25"/>
        <v>0</v>
      </c>
      <c r="R72" s="7" t="s">
        <v>15</v>
      </c>
      <c r="S72" s="7" t="s">
        <v>15</v>
      </c>
      <c r="T72" s="7" t="s">
        <v>15</v>
      </c>
      <c r="U72" s="7" t="s">
        <v>15</v>
      </c>
      <c r="V72" s="7" t="s">
        <v>15</v>
      </c>
      <c r="W72" s="7" t="s">
        <v>15</v>
      </c>
      <c r="X72" s="7" t="s">
        <v>15</v>
      </c>
      <c r="Y72" s="7" t="s">
        <v>15</v>
      </c>
      <c r="Z72" s="7" t="s">
        <v>15</v>
      </c>
      <c r="AA72" s="7" t="s">
        <v>15</v>
      </c>
      <c r="AB72" s="7" t="s">
        <v>15</v>
      </c>
      <c r="AC72" s="7" t="s">
        <v>15</v>
      </c>
    </row>
    <row r="73" spans="1:29" s="38" customFormat="1" ht="94.5" x14ac:dyDescent="0.25">
      <c r="A73" s="158" t="s">
        <v>25</v>
      </c>
      <c r="B73" s="125" t="s">
        <v>66</v>
      </c>
      <c r="C73" s="203" t="s">
        <v>113</v>
      </c>
      <c r="D73" s="203" t="s">
        <v>425</v>
      </c>
      <c r="E73" s="203" t="s">
        <v>425</v>
      </c>
      <c r="F73" s="82">
        <v>184.4</v>
      </c>
      <c r="G73" s="83">
        <v>0</v>
      </c>
      <c r="H73" s="83">
        <v>0</v>
      </c>
      <c r="I73" s="83">
        <v>0</v>
      </c>
      <c r="J73" s="82">
        <v>204.9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158" t="s">
        <v>15</v>
      </c>
      <c r="S73" s="99" t="s">
        <v>15</v>
      </c>
      <c r="T73" s="158" t="s">
        <v>15</v>
      </c>
      <c r="U73" s="99" t="s">
        <v>15</v>
      </c>
      <c r="V73" s="99" t="s">
        <v>15</v>
      </c>
      <c r="W73" s="99" t="s">
        <v>15</v>
      </c>
      <c r="X73" s="99" t="s">
        <v>15</v>
      </c>
      <c r="Y73" s="99" t="s">
        <v>15</v>
      </c>
      <c r="Z73" s="99" t="s">
        <v>15</v>
      </c>
      <c r="AA73" s="82" t="s">
        <v>17</v>
      </c>
      <c r="AB73" s="203" t="s">
        <v>541</v>
      </c>
      <c r="AC73" s="203" t="s">
        <v>542</v>
      </c>
    </row>
    <row r="74" spans="1:29" s="40" customFormat="1" ht="63.75" customHeight="1" x14ac:dyDescent="0.25">
      <c r="A74" s="6" t="s">
        <v>5</v>
      </c>
      <c r="B74" s="53" t="s">
        <v>31</v>
      </c>
      <c r="C74" s="9" t="s">
        <v>15</v>
      </c>
      <c r="D74" s="9" t="s">
        <v>15</v>
      </c>
      <c r="E74" s="9" t="s">
        <v>15</v>
      </c>
      <c r="F74" s="8">
        <f>F75+F77+F79+F84+F88+F90+F92</f>
        <v>2495879.1999999997</v>
      </c>
      <c r="G74" s="8">
        <f t="shared" ref="G74:Q74" si="26">G75+G77+G79+G84+G88+G90+G92</f>
        <v>1302170.1000000001</v>
      </c>
      <c r="H74" s="8">
        <f t="shared" si="26"/>
        <v>0</v>
      </c>
      <c r="I74" s="8">
        <f t="shared" si="26"/>
        <v>0</v>
      </c>
      <c r="J74" s="8">
        <f t="shared" si="26"/>
        <v>2579943.4</v>
      </c>
      <c r="K74" s="8">
        <f t="shared" si="26"/>
        <v>1323440.8</v>
      </c>
      <c r="L74" s="8">
        <f t="shared" si="26"/>
        <v>0</v>
      </c>
      <c r="M74" s="8">
        <f t="shared" si="26"/>
        <v>0</v>
      </c>
      <c r="N74" s="8">
        <f t="shared" si="26"/>
        <v>173419.5</v>
      </c>
      <c r="O74" s="8">
        <f t="shared" si="26"/>
        <v>57806.5</v>
      </c>
      <c r="P74" s="8">
        <f t="shared" si="26"/>
        <v>0</v>
      </c>
      <c r="Q74" s="8">
        <f t="shared" si="26"/>
        <v>0</v>
      </c>
      <c r="R74" s="9" t="s">
        <v>15</v>
      </c>
      <c r="S74" s="9" t="s">
        <v>15</v>
      </c>
      <c r="T74" s="9" t="s">
        <v>15</v>
      </c>
      <c r="U74" s="9" t="s">
        <v>15</v>
      </c>
      <c r="V74" s="9" t="s">
        <v>15</v>
      </c>
      <c r="W74" s="9" t="s">
        <v>15</v>
      </c>
      <c r="X74" s="9" t="s">
        <v>15</v>
      </c>
      <c r="Y74" s="9" t="s">
        <v>15</v>
      </c>
      <c r="Z74" s="9" t="s">
        <v>15</v>
      </c>
      <c r="AA74" s="9" t="s">
        <v>15</v>
      </c>
      <c r="AB74" s="9" t="s">
        <v>15</v>
      </c>
      <c r="AC74" s="9" t="s">
        <v>15</v>
      </c>
    </row>
    <row r="75" spans="1:29" s="37" customFormat="1" ht="60" customHeight="1" x14ac:dyDescent="0.25">
      <c r="A75" s="36" t="s">
        <v>1</v>
      </c>
      <c r="B75" s="65" t="s">
        <v>55</v>
      </c>
      <c r="C75" s="36" t="s">
        <v>15</v>
      </c>
      <c r="D75" s="36" t="s">
        <v>15</v>
      </c>
      <c r="E75" s="36" t="s">
        <v>15</v>
      </c>
      <c r="F75" s="20">
        <f>F76</f>
        <v>63550.6</v>
      </c>
      <c r="G75" s="20">
        <f t="shared" ref="G75:Q75" si="27">G76</f>
        <v>21183.5</v>
      </c>
      <c r="H75" s="20">
        <f t="shared" si="27"/>
        <v>0</v>
      </c>
      <c r="I75" s="20">
        <f t="shared" si="27"/>
        <v>0</v>
      </c>
      <c r="J75" s="20">
        <f t="shared" si="27"/>
        <v>63550.6</v>
      </c>
      <c r="K75" s="20">
        <f t="shared" si="27"/>
        <v>21183.5</v>
      </c>
      <c r="L75" s="20">
        <f t="shared" si="27"/>
        <v>0</v>
      </c>
      <c r="M75" s="20">
        <f t="shared" si="27"/>
        <v>0</v>
      </c>
      <c r="N75" s="20">
        <f t="shared" si="27"/>
        <v>0</v>
      </c>
      <c r="O75" s="20">
        <f t="shared" si="27"/>
        <v>0</v>
      </c>
      <c r="P75" s="20">
        <f t="shared" si="27"/>
        <v>0</v>
      </c>
      <c r="Q75" s="20">
        <f t="shared" si="27"/>
        <v>0</v>
      </c>
      <c r="R75" s="36" t="s">
        <v>15</v>
      </c>
      <c r="S75" s="36" t="s">
        <v>15</v>
      </c>
      <c r="T75" s="36" t="s">
        <v>15</v>
      </c>
      <c r="U75" s="36" t="s">
        <v>15</v>
      </c>
      <c r="V75" s="36" t="s">
        <v>15</v>
      </c>
      <c r="W75" s="36" t="s">
        <v>15</v>
      </c>
      <c r="X75" s="36" t="s">
        <v>15</v>
      </c>
      <c r="Y75" s="36" t="s">
        <v>15</v>
      </c>
      <c r="Z75" s="36" t="s">
        <v>15</v>
      </c>
      <c r="AA75" s="36" t="s">
        <v>15</v>
      </c>
      <c r="AB75" s="36" t="s">
        <v>15</v>
      </c>
      <c r="AC75" s="36" t="s">
        <v>15</v>
      </c>
    </row>
    <row r="76" spans="1:29" s="38" customFormat="1" ht="51.75" customHeight="1" x14ac:dyDescent="0.25">
      <c r="A76" s="158" t="s">
        <v>25</v>
      </c>
      <c r="B76" s="87" t="s">
        <v>30</v>
      </c>
      <c r="C76" s="203" t="s">
        <v>4</v>
      </c>
      <c r="D76" s="203" t="s">
        <v>425</v>
      </c>
      <c r="E76" s="203" t="s">
        <v>425</v>
      </c>
      <c r="F76" s="206">
        <v>63550.6</v>
      </c>
      <c r="G76" s="83">
        <v>21183.5</v>
      </c>
      <c r="H76" s="83">
        <v>0</v>
      </c>
      <c r="I76" s="83">
        <v>0</v>
      </c>
      <c r="J76" s="92">
        <v>63550.6</v>
      </c>
      <c r="K76" s="83">
        <v>21183.5</v>
      </c>
      <c r="L76" s="83">
        <v>0</v>
      </c>
      <c r="M76" s="83">
        <v>0</v>
      </c>
      <c r="N76" s="206">
        <v>0</v>
      </c>
      <c r="O76" s="83">
        <v>0</v>
      </c>
      <c r="P76" s="83">
        <v>0</v>
      </c>
      <c r="Q76" s="83">
        <v>0</v>
      </c>
      <c r="R76" s="158" t="s">
        <v>15</v>
      </c>
      <c r="S76" s="99" t="s">
        <v>15</v>
      </c>
      <c r="T76" s="158" t="s">
        <v>15</v>
      </c>
      <c r="U76" s="99" t="s">
        <v>15</v>
      </c>
      <c r="V76" s="99" t="s">
        <v>15</v>
      </c>
      <c r="W76" s="99" t="s">
        <v>15</v>
      </c>
      <c r="X76" s="99" t="s">
        <v>15</v>
      </c>
      <c r="Y76" s="99" t="s">
        <v>15</v>
      </c>
      <c r="Z76" s="99" t="s">
        <v>15</v>
      </c>
      <c r="AA76" s="203" t="s">
        <v>17</v>
      </c>
      <c r="AB76" s="203" t="s">
        <v>540</v>
      </c>
      <c r="AC76" s="203" t="s">
        <v>539</v>
      </c>
    </row>
    <row r="77" spans="1:29" s="66" customFormat="1" ht="91.5" customHeight="1" x14ac:dyDescent="0.25">
      <c r="A77" s="36" t="s">
        <v>8</v>
      </c>
      <c r="B77" s="65" t="s">
        <v>56</v>
      </c>
      <c r="C77" s="36" t="s">
        <v>15</v>
      </c>
      <c r="D77" s="36" t="s">
        <v>15</v>
      </c>
      <c r="E77" s="36" t="s">
        <v>15</v>
      </c>
      <c r="F77" s="20">
        <f>F78</f>
        <v>211771.5</v>
      </c>
      <c r="G77" s="20">
        <f t="shared" ref="G77:Q77" si="28">G78</f>
        <v>887300.6</v>
      </c>
      <c r="H77" s="20">
        <f t="shared" si="28"/>
        <v>0</v>
      </c>
      <c r="I77" s="20">
        <f t="shared" si="28"/>
        <v>0</v>
      </c>
      <c r="J77" s="20">
        <f t="shared" si="28"/>
        <v>211771.5</v>
      </c>
      <c r="K77" s="20">
        <f t="shared" si="28"/>
        <v>887300.6</v>
      </c>
      <c r="L77" s="20">
        <f t="shared" si="28"/>
        <v>0</v>
      </c>
      <c r="M77" s="20">
        <f t="shared" si="28"/>
        <v>0</v>
      </c>
      <c r="N77" s="20">
        <f t="shared" si="28"/>
        <v>0</v>
      </c>
      <c r="O77" s="20">
        <f t="shared" si="28"/>
        <v>0</v>
      </c>
      <c r="P77" s="20">
        <f t="shared" si="28"/>
        <v>0</v>
      </c>
      <c r="Q77" s="20">
        <f t="shared" si="28"/>
        <v>0</v>
      </c>
      <c r="R77" s="36" t="s">
        <v>15</v>
      </c>
      <c r="S77" s="36" t="s">
        <v>15</v>
      </c>
      <c r="T77" s="36" t="s">
        <v>15</v>
      </c>
      <c r="U77" s="36" t="s">
        <v>15</v>
      </c>
      <c r="V77" s="36" t="s">
        <v>15</v>
      </c>
      <c r="W77" s="36" t="s">
        <v>15</v>
      </c>
      <c r="X77" s="36" t="s">
        <v>15</v>
      </c>
      <c r="Y77" s="36" t="s">
        <v>15</v>
      </c>
      <c r="Z77" s="36" t="s">
        <v>15</v>
      </c>
      <c r="AA77" s="36" t="s">
        <v>15</v>
      </c>
      <c r="AB77" s="36" t="s">
        <v>15</v>
      </c>
      <c r="AC77" s="36" t="s">
        <v>15</v>
      </c>
    </row>
    <row r="78" spans="1:29" s="38" customFormat="1" ht="84.75" customHeight="1" x14ac:dyDescent="0.25">
      <c r="A78" s="158" t="s">
        <v>48</v>
      </c>
      <c r="B78" s="87" t="s">
        <v>67</v>
      </c>
      <c r="C78" s="203" t="s">
        <v>4</v>
      </c>
      <c r="D78" s="203" t="s">
        <v>425</v>
      </c>
      <c r="E78" s="203" t="s">
        <v>425</v>
      </c>
      <c r="F78" s="206">
        <v>211771.5</v>
      </c>
      <c r="G78" s="83">
        <v>887300.6</v>
      </c>
      <c r="H78" s="83">
        <v>0</v>
      </c>
      <c r="I78" s="83">
        <v>0</v>
      </c>
      <c r="J78" s="83">
        <v>211771.5</v>
      </c>
      <c r="K78" s="83">
        <v>887300.6</v>
      </c>
      <c r="L78" s="83">
        <v>0</v>
      </c>
      <c r="M78" s="83">
        <v>0</v>
      </c>
      <c r="N78" s="206">
        <v>0</v>
      </c>
      <c r="O78" s="83">
        <v>0</v>
      </c>
      <c r="P78" s="83">
        <v>0</v>
      </c>
      <c r="Q78" s="83">
        <v>0</v>
      </c>
      <c r="R78" s="158" t="s">
        <v>15</v>
      </c>
      <c r="S78" s="99" t="s">
        <v>15</v>
      </c>
      <c r="T78" s="158" t="s">
        <v>15</v>
      </c>
      <c r="U78" s="99" t="s">
        <v>15</v>
      </c>
      <c r="V78" s="99" t="s">
        <v>15</v>
      </c>
      <c r="W78" s="99" t="s">
        <v>15</v>
      </c>
      <c r="X78" s="99" t="s">
        <v>15</v>
      </c>
      <c r="Y78" s="99" t="s">
        <v>15</v>
      </c>
      <c r="Z78" s="99" t="s">
        <v>15</v>
      </c>
      <c r="AA78" s="82" t="s">
        <v>17</v>
      </c>
      <c r="AB78" s="82" t="s">
        <v>545</v>
      </c>
      <c r="AC78" s="203" t="s">
        <v>543</v>
      </c>
    </row>
    <row r="79" spans="1:29" s="66" customFormat="1" ht="54.75" customHeight="1" x14ac:dyDescent="0.25">
      <c r="A79" s="36" t="s">
        <v>42</v>
      </c>
      <c r="B79" s="46" t="s">
        <v>32</v>
      </c>
      <c r="C79" s="36" t="s">
        <v>15</v>
      </c>
      <c r="D79" s="36" t="s">
        <v>15</v>
      </c>
      <c r="E79" s="36" t="s">
        <v>15</v>
      </c>
      <c r="F79" s="20">
        <f>F80</f>
        <v>80308.3</v>
      </c>
      <c r="G79" s="20">
        <f t="shared" ref="G79:Q79" si="29">G80</f>
        <v>26769.399999999998</v>
      </c>
      <c r="H79" s="20">
        <f t="shared" si="29"/>
        <v>0</v>
      </c>
      <c r="I79" s="20">
        <f t="shared" si="29"/>
        <v>0</v>
      </c>
      <c r="J79" s="20">
        <f t="shared" si="29"/>
        <v>80308.3</v>
      </c>
      <c r="K79" s="20">
        <f t="shared" si="29"/>
        <v>26769.399999999998</v>
      </c>
      <c r="L79" s="20">
        <f t="shared" si="29"/>
        <v>0</v>
      </c>
      <c r="M79" s="20">
        <f t="shared" si="29"/>
        <v>0</v>
      </c>
      <c r="N79" s="20">
        <f t="shared" si="29"/>
        <v>0</v>
      </c>
      <c r="O79" s="20">
        <f t="shared" si="29"/>
        <v>0</v>
      </c>
      <c r="P79" s="20">
        <f t="shared" si="29"/>
        <v>0</v>
      </c>
      <c r="Q79" s="20">
        <f t="shared" si="29"/>
        <v>0</v>
      </c>
      <c r="R79" s="36" t="s">
        <v>15</v>
      </c>
      <c r="S79" s="36" t="s">
        <v>15</v>
      </c>
      <c r="T79" s="36" t="s">
        <v>15</v>
      </c>
      <c r="U79" s="36" t="s">
        <v>15</v>
      </c>
      <c r="V79" s="36" t="s">
        <v>15</v>
      </c>
      <c r="W79" s="36" t="s">
        <v>15</v>
      </c>
      <c r="X79" s="36" t="s">
        <v>15</v>
      </c>
      <c r="Y79" s="36" t="s">
        <v>15</v>
      </c>
      <c r="Z79" s="36" t="s">
        <v>15</v>
      </c>
      <c r="AA79" s="36" t="s">
        <v>15</v>
      </c>
      <c r="AB79" s="36" t="s">
        <v>15</v>
      </c>
      <c r="AC79" s="36" t="s">
        <v>15</v>
      </c>
    </row>
    <row r="80" spans="1:29" s="38" customFormat="1" ht="57.75" customHeight="1" x14ac:dyDescent="0.25">
      <c r="A80" s="158" t="s">
        <v>50</v>
      </c>
      <c r="B80" s="87" t="s">
        <v>33</v>
      </c>
      <c r="C80" s="219" t="s">
        <v>4</v>
      </c>
      <c r="D80" s="219" t="s">
        <v>425</v>
      </c>
      <c r="E80" s="219" t="s">
        <v>425</v>
      </c>
      <c r="F80" s="127">
        <f>F81+F82+F83</f>
        <v>80308.3</v>
      </c>
      <c r="G80" s="127">
        <f t="shared" ref="G80:Q80" si="30">G81+G82+G83</f>
        <v>26769.399999999998</v>
      </c>
      <c r="H80" s="127">
        <f t="shared" si="30"/>
        <v>0</v>
      </c>
      <c r="I80" s="127">
        <f t="shared" si="30"/>
        <v>0</v>
      </c>
      <c r="J80" s="127">
        <f t="shared" si="30"/>
        <v>80308.3</v>
      </c>
      <c r="K80" s="127">
        <f t="shared" si="30"/>
        <v>26769.399999999998</v>
      </c>
      <c r="L80" s="127">
        <f t="shared" si="30"/>
        <v>0</v>
      </c>
      <c r="M80" s="127">
        <f t="shared" si="30"/>
        <v>0</v>
      </c>
      <c r="N80" s="127">
        <f t="shared" si="30"/>
        <v>0</v>
      </c>
      <c r="O80" s="127">
        <f t="shared" si="30"/>
        <v>0</v>
      </c>
      <c r="P80" s="127">
        <f t="shared" si="30"/>
        <v>0</v>
      </c>
      <c r="Q80" s="127">
        <f t="shared" si="30"/>
        <v>0</v>
      </c>
      <c r="R80" s="158" t="s">
        <v>15</v>
      </c>
      <c r="S80" s="99" t="s">
        <v>15</v>
      </c>
      <c r="T80" s="158" t="s">
        <v>15</v>
      </c>
      <c r="U80" s="99" t="s">
        <v>15</v>
      </c>
      <c r="V80" s="99" t="s">
        <v>15</v>
      </c>
      <c r="W80" s="99" t="s">
        <v>15</v>
      </c>
      <c r="X80" s="99" t="s">
        <v>15</v>
      </c>
      <c r="Y80" s="99" t="s">
        <v>15</v>
      </c>
      <c r="Z80" s="99" t="s">
        <v>15</v>
      </c>
      <c r="AA80" s="99" t="s">
        <v>15</v>
      </c>
      <c r="AB80" s="99" t="s">
        <v>15</v>
      </c>
      <c r="AC80" s="99" t="s">
        <v>15</v>
      </c>
    </row>
    <row r="81" spans="1:29" s="38" customFormat="1" ht="105.75" customHeight="1" x14ac:dyDescent="0.25">
      <c r="A81" s="93" t="s">
        <v>57</v>
      </c>
      <c r="B81" s="97" t="s">
        <v>34</v>
      </c>
      <c r="C81" s="219"/>
      <c r="D81" s="219"/>
      <c r="E81" s="219"/>
      <c r="F81" s="83">
        <v>49872.9</v>
      </c>
      <c r="G81" s="83">
        <v>16624.3</v>
      </c>
      <c r="H81" s="83">
        <v>0</v>
      </c>
      <c r="I81" s="83">
        <v>0</v>
      </c>
      <c r="J81" s="83">
        <v>49872.9</v>
      </c>
      <c r="K81" s="83">
        <v>16624.3</v>
      </c>
      <c r="L81" s="83">
        <v>0</v>
      </c>
      <c r="M81" s="83">
        <v>0</v>
      </c>
      <c r="N81" s="83">
        <v>0</v>
      </c>
      <c r="O81" s="83">
        <v>0</v>
      </c>
      <c r="P81" s="83">
        <v>0</v>
      </c>
      <c r="Q81" s="83">
        <v>0</v>
      </c>
      <c r="R81" s="158" t="s">
        <v>15</v>
      </c>
      <c r="S81" s="99" t="s">
        <v>15</v>
      </c>
      <c r="T81" s="158" t="s">
        <v>15</v>
      </c>
      <c r="U81" s="99" t="s">
        <v>15</v>
      </c>
      <c r="V81" s="99" t="s">
        <v>15</v>
      </c>
      <c r="W81" s="99" t="s">
        <v>15</v>
      </c>
      <c r="X81" s="99" t="s">
        <v>15</v>
      </c>
      <c r="Y81" s="99" t="s">
        <v>15</v>
      </c>
      <c r="Z81" s="99" t="s">
        <v>15</v>
      </c>
      <c r="AA81" s="219" t="s">
        <v>17</v>
      </c>
      <c r="AB81" s="218" t="s">
        <v>541</v>
      </c>
      <c r="AC81" s="218" t="s">
        <v>544</v>
      </c>
    </row>
    <row r="82" spans="1:29" s="38" customFormat="1" ht="172.5" customHeight="1" x14ac:dyDescent="0.25">
      <c r="A82" s="93" t="s">
        <v>58</v>
      </c>
      <c r="B82" s="97" t="s">
        <v>35</v>
      </c>
      <c r="C82" s="219"/>
      <c r="D82" s="219"/>
      <c r="E82" s="219"/>
      <c r="F82" s="83">
        <v>25621.599999999999</v>
      </c>
      <c r="G82" s="83">
        <v>8540.5</v>
      </c>
      <c r="H82" s="83">
        <v>0</v>
      </c>
      <c r="I82" s="83">
        <v>0</v>
      </c>
      <c r="J82" s="83">
        <v>25621.599999999999</v>
      </c>
      <c r="K82" s="83">
        <v>8540.5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83">
        <v>0</v>
      </c>
      <c r="R82" s="158" t="s">
        <v>15</v>
      </c>
      <c r="S82" s="99" t="s">
        <v>15</v>
      </c>
      <c r="T82" s="158" t="s">
        <v>15</v>
      </c>
      <c r="U82" s="99" t="s">
        <v>15</v>
      </c>
      <c r="V82" s="99" t="s">
        <v>15</v>
      </c>
      <c r="W82" s="99" t="s">
        <v>15</v>
      </c>
      <c r="X82" s="99" t="s">
        <v>15</v>
      </c>
      <c r="Y82" s="99" t="s">
        <v>15</v>
      </c>
      <c r="Z82" s="99" t="s">
        <v>15</v>
      </c>
      <c r="AA82" s="219"/>
      <c r="AB82" s="218"/>
      <c r="AC82" s="218"/>
    </row>
    <row r="83" spans="1:29" s="38" customFormat="1" ht="73.5" customHeight="1" x14ac:dyDescent="0.25">
      <c r="A83" s="93" t="s">
        <v>59</v>
      </c>
      <c r="B83" s="97" t="s">
        <v>36</v>
      </c>
      <c r="C83" s="219"/>
      <c r="D83" s="219"/>
      <c r="E83" s="219"/>
      <c r="F83" s="83">
        <v>4813.8</v>
      </c>
      <c r="G83" s="83">
        <v>1604.6</v>
      </c>
      <c r="H83" s="83">
        <v>0</v>
      </c>
      <c r="I83" s="83">
        <v>0</v>
      </c>
      <c r="J83" s="83">
        <v>4813.8</v>
      </c>
      <c r="K83" s="83">
        <v>1604.6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158" t="s">
        <v>15</v>
      </c>
      <c r="S83" s="99" t="s">
        <v>15</v>
      </c>
      <c r="T83" s="158" t="s">
        <v>15</v>
      </c>
      <c r="U83" s="99" t="s">
        <v>15</v>
      </c>
      <c r="V83" s="99" t="s">
        <v>15</v>
      </c>
      <c r="W83" s="99" t="s">
        <v>15</v>
      </c>
      <c r="X83" s="99" t="s">
        <v>15</v>
      </c>
      <c r="Y83" s="99" t="s">
        <v>15</v>
      </c>
      <c r="Z83" s="99" t="s">
        <v>15</v>
      </c>
      <c r="AA83" s="219"/>
      <c r="AB83" s="218"/>
      <c r="AC83" s="218"/>
    </row>
    <row r="84" spans="1:29" s="66" customFormat="1" ht="56.25" customHeight="1" x14ac:dyDescent="0.25">
      <c r="A84" s="36" t="s">
        <v>60</v>
      </c>
      <c r="B84" s="46" t="s">
        <v>37</v>
      </c>
      <c r="C84" s="36" t="s">
        <v>15</v>
      </c>
      <c r="D84" s="36" t="s">
        <v>15</v>
      </c>
      <c r="E84" s="36" t="s">
        <v>15</v>
      </c>
      <c r="F84" s="20">
        <f>F85+F86+F87</f>
        <v>1036896.3999999999</v>
      </c>
      <c r="G84" s="20">
        <f t="shared" ref="G84:Q84" si="31">G85+G86+G87</f>
        <v>0</v>
      </c>
      <c r="H84" s="20">
        <f t="shared" si="31"/>
        <v>0</v>
      </c>
      <c r="I84" s="20">
        <f t="shared" si="31"/>
        <v>0</v>
      </c>
      <c r="J84" s="20">
        <f t="shared" si="31"/>
        <v>1057148.7</v>
      </c>
      <c r="K84" s="20">
        <f t="shared" si="31"/>
        <v>0</v>
      </c>
      <c r="L84" s="20">
        <f t="shared" si="31"/>
        <v>0</v>
      </c>
      <c r="M84" s="20">
        <f t="shared" si="31"/>
        <v>0</v>
      </c>
      <c r="N84" s="20">
        <f t="shared" si="31"/>
        <v>0</v>
      </c>
      <c r="O84" s="20">
        <f t="shared" si="31"/>
        <v>0</v>
      </c>
      <c r="P84" s="20">
        <f t="shared" si="31"/>
        <v>0</v>
      </c>
      <c r="Q84" s="20">
        <f t="shared" si="31"/>
        <v>0</v>
      </c>
      <c r="R84" s="36" t="s">
        <v>15</v>
      </c>
      <c r="S84" s="36" t="s">
        <v>15</v>
      </c>
      <c r="T84" s="36" t="s">
        <v>15</v>
      </c>
      <c r="U84" s="36" t="s">
        <v>15</v>
      </c>
      <c r="V84" s="36" t="s">
        <v>15</v>
      </c>
      <c r="W84" s="36" t="s">
        <v>15</v>
      </c>
      <c r="X84" s="36" t="s">
        <v>15</v>
      </c>
      <c r="Y84" s="36" t="s">
        <v>15</v>
      </c>
      <c r="Z84" s="36" t="s">
        <v>15</v>
      </c>
      <c r="AA84" s="36" t="s">
        <v>15</v>
      </c>
      <c r="AB84" s="36" t="s">
        <v>15</v>
      </c>
      <c r="AC84" s="36" t="s">
        <v>15</v>
      </c>
    </row>
    <row r="85" spans="1:29" s="38" customFormat="1" ht="118.5" customHeight="1" x14ac:dyDescent="0.25">
      <c r="A85" s="158" t="s">
        <v>51</v>
      </c>
      <c r="B85" s="87" t="s">
        <v>38</v>
      </c>
      <c r="C85" s="203" t="s">
        <v>39</v>
      </c>
      <c r="D85" s="203" t="s">
        <v>425</v>
      </c>
      <c r="E85" s="203" t="s">
        <v>425</v>
      </c>
      <c r="F85" s="206">
        <v>768873.9</v>
      </c>
      <c r="G85" s="83">
        <v>0</v>
      </c>
      <c r="H85" s="83">
        <v>0</v>
      </c>
      <c r="I85" s="83">
        <v>0</v>
      </c>
      <c r="J85" s="206">
        <v>795879.9</v>
      </c>
      <c r="K85" s="83">
        <v>0</v>
      </c>
      <c r="L85" s="83">
        <v>0</v>
      </c>
      <c r="M85" s="83">
        <v>0</v>
      </c>
      <c r="N85" s="206">
        <v>0</v>
      </c>
      <c r="O85" s="83">
        <v>0</v>
      </c>
      <c r="P85" s="83">
        <v>0</v>
      </c>
      <c r="Q85" s="83">
        <v>0</v>
      </c>
      <c r="R85" s="158" t="s">
        <v>15</v>
      </c>
      <c r="S85" s="99" t="s">
        <v>15</v>
      </c>
      <c r="T85" s="158" t="s">
        <v>15</v>
      </c>
      <c r="U85" s="99" t="s">
        <v>15</v>
      </c>
      <c r="V85" s="99" t="s">
        <v>15</v>
      </c>
      <c r="W85" s="99" t="s">
        <v>15</v>
      </c>
      <c r="X85" s="99" t="s">
        <v>15</v>
      </c>
      <c r="Y85" s="99" t="s">
        <v>15</v>
      </c>
      <c r="Z85" s="99" t="s">
        <v>15</v>
      </c>
      <c r="AA85" s="203" t="s">
        <v>40</v>
      </c>
      <c r="AB85" s="203" t="s">
        <v>15</v>
      </c>
      <c r="AC85" s="203" t="s">
        <v>15</v>
      </c>
    </row>
    <row r="86" spans="1:29" s="38" customFormat="1" ht="51.75" customHeight="1" x14ac:dyDescent="0.25">
      <c r="A86" s="158" t="s">
        <v>61</v>
      </c>
      <c r="B86" s="87" t="s">
        <v>41</v>
      </c>
      <c r="C86" s="203" t="s">
        <v>113</v>
      </c>
      <c r="D86" s="203" t="s">
        <v>425</v>
      </c>
      <c r="E86" s="203" t="s">
        <v>425</v>
      </c>
      <c r="F86" s="206">
        <v>261268.8</v>
      </c>
      <c r="G86" s="83">
        <v>0</v>
      </c>
      <c r="H86" s="83">
        <v>0</v>
      </c>
      <c r="I86" s="83">
        <v>0</v>
      </c>
      <c r="J86" s="206">
        <v>261268.8</v>
      </c>
      <c r="K86" s="83">
        <v>0</v>
      </c>
      <c r="L86" s="83">
        <v>0</v>
      </c>
      <c r="M86" s="83">
        <v>0</v>
      </c>
      <c r="N86" s="206">
        <v>0</v>
      </c>
      <c r="O86" s="83">
        <v>0</v>
      </c>
      <c r="P86" s="83">
        <v>0</v>
      </c>
      <c r="Q86" s="83">
        <v>0</v>
      </c>
      <c r="R86" s="158" t="s">
        <v>15</v>
      </c>
      <c r="S86" s="99" t="s">
        <v>15</v>
      </c>
      <c r="T86" s="158" t="s">
        <v>15</v>
      </c>
      <c r="U86" s="99" t="s">
        <v>15</v>
      </c>
      <c r="V86" s="99" t="s">
        <v>15</v>
      </c>
      <c r="W86" s="99" t="s">
        <v>15</v>
      </c>
      <c r="X86" s="99" t="s">
        <v>15</v>
      </c>
      <c r="Y86" s="99" t="s">
        <v>15</v>
      </c>
      <c r="Z86" s="99" t="s">
        <v>15</v>
      </c>
      <c r="AA86" s="203" t="s">
        <v>40</v>
      </c>
      <c r="AB86" s="203" t="s">
        <v>15</v>
      </c>
      <c r="AC86" s="203" t="s">
        <v>15</v>
      </c>
    </row>
    <row r="87" spans="1:29" s="38" customFormat="1" ht="236.25" x14ac:dyDescent="0.25">
      <c r="A87" s="158" t="s">
        <v>62</v>
      </c>
      <c r="B87" s="87" t="s">
        <v>43</v>
      </c>
      <c r="C87" s="203" t="s">
        <v>113</v>
      </c>
      <c r="D87" s="203" t="s">
        <v>425</v>
      </c>
      <c r="E87" s="203" t="s">
        <v>425</v>
      </c>
      <c r="F87" s="206">
        <v>6753.7</v>
      </c>
      <c r="G87" s="83">
        <v>0</v>
      </c>
      <c r="H87" s="83">
        <v>0</v>
      </c>
      <c r="I87" s="83">
        <v>0</v>
      </c>
      <c r="J87" s="206">
        <v>0</v>
      </c>
      <c r="K87" s="83">
        <v>0</v>
      </c>
      <c r="L87" s="83">
        <v>0</v>
      </c>
      <c r="M87" s="83">
        <v>0</v>
      </c>
      <c r="N87" s="206">
        <v>0</v>
      </c>
      <c r="O87" s="83">
        <v>0</v>
      </c>
      <c r="P87" s="83">
        <v>0</v>
      </c>
      <c r="Q87" s="83">
        <v>0</v>
      </c>
      <c r="R87" s="158" t="s">
        <v>15</v>
      </c>
      <c r="S87" s="99" t="s">
        <v>15</v>
      </c>
      <c r="T87" s="158" t="s">
        <v>15</v>
      </c>
      <c r="U87" s="99" t="s">
        <v>15</v>
      </c>
      <c r="V87" s="99" t="s">
        <v>15</v>
      </c>
      <c r="W87" s="99" t="s">
        <v>15</v>
      </c>
      <c r="X87" s="99" t="s">
        <v>15</v>
      </c>
      <c r="Y87" s="99" t="s">
        <v>15</v>
      </c>
      <c r="Z87" s="99" t="s">
        <v>15</v>
      </c>
      <c r="AA87" s="203" t="s">
        <v>17</v>
      </c>
      <c r="AB87" s="203" t="s">
        <v>15</v>
      </c>
      <c r="AC87" s="203" t="s">
        <v>15</v>
      </c>
    </row>
    <row r="88" spans="1:29" s="66" customFormat="1" ht="42" customHeight="1" x14ac:dyDescent="0.25">
      <c r="A88" s="36" t="s">
        <v>63</v>
      </c>
      <c r="B88" s="46" t="s">
        <v>44</v>
      </c>
      <c r="C88" s="36" t="s">
        <v>15</v>
      </c>
      <c r="D88" s="36" t="s">
        <v>15</v>
      </c>
      <c r="E88" s="36" t="s">
        <v>15</v>
      </c>
      <c r="F88" s="20">
        <f>F89</f>
        <v>144375</v>
      </c>
      <c r="G88" s="20">
        <f t="shared" ref="G88:Q88" si="32">G89</f>
        <v>48125</v>
      </c>
      <c r="H88" s="20">
        <f t="shared" si="32"/>
        <v>0</v>
      </c>
      <c r="I88" s="20">
        <f t="shared" si="32"/>
        <v>0</v>
      </c>
      <c r="J88" s="20">
        <f t="shared" si="32"/>
        <v>144375</v>
      </c>
      <c r="K88" s="20">
        <f t="shared" si="32"/>
        <v>48125</v>
      </c>
      <c r="L88" s="20">
        <f t="shared" si="32"/>
        <v>0</v>
      </c>
      <c r="M88" s="20">
        <f t="shared" si="32"/>
        <v>0</v>
      </c>
      <c r="N88" s="20">
        <f t="shared" si="32"/>
        <v>0</v>
      </c>
      <c r="O88" s="20">
        <f t="shared" si="32"/>
        <v>0</v>
      </c>
      <c r="P88" s="20">
        <f t="shared" si="32"/>
        <v>0</v>
      </c>
      <c r="Q88" s="20">
        <f t="shared" si="32"/>
        <v>0</v>
      </c>
      <c r="R88" s="36" t="s">
        <v>15</v>
      </c>
      <c r="S88" s="36" t="s">
        <v>15</v>
      </c>
      <c r="T88" s="36" t="s">
        <v>15</v>
      </c>
      <c r="U88" s="36" t="s">
        <v>15</v>
      </c>
      <c r="V88" s="36" t="s">
        <v>15</v>
      </c>
      <c r="W88" s="36" t="s">
        <v>15</v>
      </c>
      <c r="X88" s="36" t="s">
        <v>15</v>
      </c>
      <c r="Y88" s="36" t="s">
        <v>15</v>
      </c>
      <c r="Z88" s="36" t="s">
        <v>15</v>
      </c>
      <c r="AA88" s="36" t="s">
        <v>15</v>
      </c>
      <c r="AB88" s="36" t="s">
        <v>15</v>
      </c>
      <c r="AC88" s="36" t="s">
        <v>15</v>
      </c>
    </row>
    <row r="89" spans="1:29" s="38" customFormat="1" ht="135.75" customHeight="1" x14ac:dyDescent="0.25">
      <c r="A89" s="102" t="s">
        <v>52</v>
      </c>
      <c r="B89" s="87" t="s">
        <v>45</v>
      </c>
      <c r="C89" s="203" t="s">
        <v>4</v>
      </c>
      <c r="D89" s="203" t="s">
        <v>425</v>
      </c>
      <c r="E89" s="203" t="s">
        <v>425</v>
      </c>
      <c r="F89" s="83">
        <v>144375</v>
      </c>
      <c r="G89" s="83">
        <v>48125</v>
      </c>
      <c r="H89" s="83">
        <v>0</v>
      </c>
      <c r="I89" s="83">
        <v>0</v>
      </c>
      <c r="J89" s="83">
        <v>144375</v>
      </c>
      <c r="K89" s="83">
        <v>48125</v>
      </c>
      <c r="L89" s="83">
        <v>0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158" t="s">
        <v>15</v>
      </c>
      <c r="S89" s="99" t="s">
        <v>15</v>
      </c>
      <c r="T89" s="158" t="s">
        <v>15</v>
      </c>
      <c r="U89" s="99" t="s">
        <v>15</v>
      </c>
      <c r="V89" s="99" t="s">
        <v>15</v>
      </c>
      <c r="W89" s="99" t="s">
        <v>15</v>
      </c>
      <c r="X89" s="99" t="s">
        <v>15</v>
      </c>
      <c r="Y89" s="99" t="s">
        <v>15</v>
      </c>
      <c r="Z89" s="99" t="s">
        <v>15</v>
      </c>
      <c r="AA89" s="99" t="s">
        <v>546</v>
      </c>
      <c r="AB89" s="203" t="s">
        <v>547</v>
      </c>
      <c r="AC89" s="203" t="s">
        <v>15</v>
      </c>
    </row>
    <row r="90" spans="1:29" s="66" customFormat="1" ht="55.5" customHeight="1" x14ac:dyDescent="0.25">
      <c r="A90" s="36" t="s">
        <v>64</v>
      </c>
      <c r="B90" s="46" t="s">
        <v>46</v>
      </c>
      <c r="C90" s="36" t="s">
        <v>15</v>
      </c>
      <c r="D90" s="36" t="s">
        <v>15</v>
      </c>
      <c r="E90" s="36" t="s">
        <v>15</v>
      </c>
      <c r="F90" s="20">
        <f>F91</f>
        <v>2602.5</v>
      </c>
      <c r="G90" s="20">
        <f t="shared" ref="G90:Q90" si="33">G91</f>
        <v>0</v>
      </c>
      <c r="H90" s="20">
        <f t="shared" si="33"/>
        <v>0</v>
      </c>
      <c r="I90" s="20">
        <f t="shared" si="33"/>
        <v>0</v>
      </c>
      <c r="J90" s="20">
        <f t="shared" si="33"/>
        <v>2602.5</v>
      </c>
      <c r="K90" s="20">
        <f t="shared" si="33"/>
        <v>0</v>
      </c>
      <c r="L90" s="20">
        <f t="shared" si="33"/>
        <v>0</v>
      </c>
      <c r="M90" s="20">
        <f t="shared" si="33"/>
        <v>0</v>
      </c>
      <c r="N90" s="20">
        <f t="shared" si="33"/>
        <v>0</v>
      </c>
      <c r="O90" s="20">
        <f t="shared" si="33"/>
        <v>0</v>
      </c>
      <c r="P90" s="20">
        <f t="shared" si="33"/>
        <v>0</v>
      </c>
      <c r="Q90" s="20">
        <f t="shared" si="33"/>
        <v>0</v>
      </c>
      <c r="R90" s="36" t="s">
        <v>15</v>
      </c>
      <c r="S90" s="36" t="s">
        <v>15</v>
      </c>
      <c r="T90" s="36" t="s">
        <v>15</v>
      </c>
      <c r="U90" s="36" t="s">
        <v>15</v>
      </c>
      <c r="V90" s="36" t="s">
        <v>15</v>
      </c>
      <c r="W90" s="36" t="s">
        <v>15</v>
      </c>
      <c r="X90" s="36" t="s">
        <v>15</v>
      </c>
      <c r="Y90" s="36" t="s">
        <v>15</v>
      </c>
      <c r="Z90" s="36" t="s">
        <v>15</v>
      </c>
      <c r="AA90" s="36" t="s">
        <v>15</v>
      </c>
      <c r="AB90" s="36" t="s">
        <v>15</v>
      </c>
      <c r="AC90" s="36" t="s">
        <v>15</v>
      </c>
    </row>
    <row r="91" spans="1:29" s="38" customFormat="1" ht="149.25" customHeight="1" x14ac:dyDescent="0.25">
      <c r="A91" s="158" t="s">
        <v>65</v>
      </c>
      <c r="B91" s="87" t="s">
        <v>47</v>
      </c>
      <c r="C91" s="203" t="s">
        <v>113</v>
      </c>
      <c r="D91" s="203" t="s">
        <v>425</v>
      </c>
      <c r="E91" s="203" t="s">
        <v>425</v>
      </c>
      <c r="F91" s="83">
        <v>2602.5</v>
      </c>
      <c r="G91" s="83">
        <v>0</v>
      </c>
      <c r="H91" s="83">
        <v>0</v>
      </c>
      <c r="I91" s="83">
        <v>0</v>
      </c>
      <c r="J91" s="83">
        <v>2602.5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83">
        <v>0</v>
      </c>
      <c r="R91" s="158" t="s">
        <v>15</v>
      </c>
      <c r="S91" s="99" t="s">
        <v>15</v>
      </c>
      <c r="T91" s="158" t="s">
        <v>15</v>
      </c>
      <c r="U91" s="99" t="s">
        <v>15</v>
      </c>
      <c r="V91" s="99" t="s">
        <v>15</v>
      </c>
      <c r="W91" s="99" t="s">
        <v>15</v>
      </c>
      <c r="X91" s="99" t="s">
        <v>15</v>
      </c>
      <c r="Y91" s="99" t="s">
        <v>15</v>
      </c>
      <c r="Z91" s="99" t="s">
        <v>15</v>
      </c>
      <c r="AA91" s="82" t="s">
        <v>17</v>
      </c>
      <c r="AB91" s="205" t="s">
        <v>703</v>
      </c>
      <c r="AC91" s="203" t="s">
        <v>15</v>
      </c>
    </row>
    <row r="92" spans="1:29" s="66" customFormat="1" ht="36.75" customHeight="1" x14ac:dyDescent="0.25">
      <c r="A92" s="36" t="s">
        <v>68</v>
      </c>
      <c r="B92" s="65" t="s">
        <v>223</v>
      </c>
      <c r="C92" s="36" t="s">
        <v>15</v>
      </c>
      <c r="D92" s="36" t="s">
        <v>15</v>
      </c>
      <c r="E92" s="36" t="s">
        <v>15</v>
      </c>
      <c r="F92" s="160">
        <f>F93</f>
        <v>956374.9</v>
      </c>
      <c r="G92" s="160">
        <f t="shared" ref="G92:Q92" si="34">G93</f>
        <v>318791.59999999998</v>
      </c>
      <c r="H92" s="160">
        <f t="shared" si="34"/>
        <v>0</v>
      </c>
      <c r="I92" s="160">
        <f t="shared" si="34"/>
        <v>0</v>
      </c>
      <c r="J92" s="160">
        <f t="shared" si="34"/>
        <v>1020186.8</v>
      </c>
      <c r="K92" s="160">
        <f t="shared" si="34"/>
        <v>340062.3</v>
      </c>
      <c r="L92" s="160">
        <f t="shared" si="34"/>
        <v>0</v>
      </c>
      <c r="M92" s="160">
        <f t="shared" si="34"/>
        <v>0</v>
      </c>
      <c r="N92" s="160">
        <f t="shared" si="34"/>
        <v>173419.5</v>
      </c>
      <c r="O92" s="160">
        <f t="shared" si="34"/>
        <v>57806.5</v>
      </c>
      <c r="P92" s="160">
        <f t="shared" si="34"/>
        <v>0</v>
      </c>
      <c r="Q92" s="160">
        <f t="shared" si="34"/>
        <v>0</v>
      </c>
      <c r="R92" s="36" t="s">
        <v>15</v>
      </c>
      <c r="S92" s="36" t="s">
        <v>15</v>
      </c>
      <c r="T92" s="36" t="s">
        <v>15</v>
      </c>
      <c r="U92" s="36" t="s">
        <v>15</v>
      </c>
      <c r="V92" s="36" t="s">
        <v>15</v>
      </c>
      <c r="W92" s="36" t="s">
        <v>15</v>
      </c>
      <c r="X92" s="36" t="s">
        <v>15</v>
      </c>
      <c r="Y92" s="36" t="s">
        <v>15</v>
      </c>
      <c r="Z92" s="36" t="s">
        <v>15</v>
      </c>
      <c r="AA92" s="36" t="s">
        <v>15</v>
      </c>
      <c r="AB92" s="36" t="s">
        <v>15</v>
      </c>
      <c r="AC92" s="36" t="s">
        <v>15</v>
      </c>
    </row>
    <row r="93" spans="1:29" s="38" customFormat="1" ht="76.5" customHeight="1" x14ac:dyDescent="0.25">
      <c r="A93" s="158" t="s">
        <v>69</v>
      </c>
      <c r="B93" s="125" t="s">
        <v>28</v>
      </c>
      <c r="C93" s="217" t="s">
        <v>4</v>
      </c>
      <c r="D93" s="217" t="s">
        <v>425</v>
      </c>
      <c r="E93" s="217" t="s">
        <v>377</v>
      </c>
      <c r="F93" s="126">
        <f>F94+F95+F96</f>
        <v>956374.9</v>
      </c>
      <c r="G93" s="126">
        <f t="shared" ref="G93:Q93" si="35">G94+G95+G96</f>
        <v>318791.59999999998</v>
      </c>
      <c r="H93" s="126">
        <f t="shared" si="35"/>
        <v>0</v>
      </c>
      <c r="I93" s="126">
        <f t="shared" si="35"/>
        <v>0</v>
      </c>
      <c r="J93" s="126">
        <f t="shared" si="35"/>
        <v>1020186.8</v>
      </c>
      <c r="K93" s="126">
        <f t="shared" si="35"/>
        <v>340062.3</v>
      </c>
      <c r="L93" s="126">
        <f t="shared" si="35"/>
        <v>0</v>
      </c>
      <c r="M93" s="126">
        <f t="shared" si="35"/>
        <v>0</v>
      </c>
      <c r="N93" s="126">
        <f t="shared" si="35"/>
        <v>173419.5</v>
      </c>
      <c r="O93" s="126">
        <f t="shared" si="35"/>
        <v>57806.5</v>
      </c>
      <c r="P93" s="126">
        <f t="shared" si="35"/>
        <v>0</v>
      </c>
      <c r="Q93" s="126">
        <f t="shared" si="35"/>
        <v>0</v>
      </c>
      <c r="R93" s="88">
        <v>2023</v>
      </c>
      <c r="S93" s="88">
        <v>2025</v>
      </c>
      <c r="T93" s="158" t="s">
        <v>15</v>
      </c>
      <c r="U93" s="99" t="s">
        <v>15</v>
      </c>
      <c r="V93" s="99" t="s">
        <v>15</v>
      </c>
      <c r="W93" s="99" t="s">
        <v>15</v>
      </c>
      <c r="X93" s="99" t="s">
        <v>15</v>
      </c>
      <c r="Y93" s="99" t="s">
        <v>15</v>
      </c>
      <c r="Z93" s="99" t="s">
        <v>15</v>
      </c>
      <c r="AA93" s="219" t="s">
        <v>934</v>
      </c>
      <c r="AB93" s="240" t="s">
        <v>537</v>
      </c>
      <c r="AC93" s="219" t="s">
        <v>933</v>
      </c>
    </row>
    <row r="94" spans="1:29" s="38" customFormat="1" ht="74.25" customHeight="1" x14ac:dyDescent="0.25">
      <c r="A94" s="141" t="s">
        <v>726</v>
      </c>
      <c r="B94" s="135" t="s">
        <v>729</v>
      </c>
      <c r="C94" s="248" t="s">
        <v>4</v>
      </c>
      <c r="D94" s="248" t="s">
        <v>425</v>
      </c>
      <c r="E94" s="248" t="s">
        <v>377</v>
      </c>
      <c r="F94" s="134">
        <v>149800.9</v>
      </c>
      <c r="G94" s="134">
        <v>49933.599999999999</v>
      </c>
      <c r="H94" s="126">
        <v>0</v>
      </c>
      <c r="I94" s="126">
        <v>0</v>
      </c>
      <c r="J94" s="134">
        <v>187931.3</v>
      </c>
      <c r="K94" s="134">
        <v>62643.8</v>
      </c>
      <c r="L94" s="126">
        <v>0</v>
      </c>
      <c r="M94" s="126">
        <v>0</v>
      </c>
      <c r="N94" s="126">
        <v>0</v>
      </c>
      <c r="O94" s="126">
        <v>0</v>
      </c>
      <c r="P94" s="126">
        <v>0</v>
      </c>
      <c r="Q94" s="126">
        <v>0</v>
      </c>
      <c r="R94" s="88">
        <v>2023</v>
      </c>
      <c r="S94" s="88">
        <v>2025</v>
      </c>
      <c r="T94" s="203" t="s">
        <v>750</v>
      </c>
      <c r="U94" s="99" t="s">
        <v>105</v>
      </c>
      <c r="V94" s="124" t="s">
        <v>751</v>
      </c>
      <c r="W94" s="124" t="s">
        <v>751</v>
      </c>
      <c r="X94" s="99" t="s">
        <v>752</v>
      </c>
      <c r="Y94" s="88">
        <v>2025</v>
      </c>
      <c r="Z94" s="99">
        <v>365879.82</v>
      </c>
      <c r="AA94" s="219"/>
      <c r="AB94" s="240"/>
      <c r="AC94" s="219"/>
    </row>
    <row r="95" spans="1:29" s="38" customFormat="1" ht="74.25" customHeight="1" x14ac:dyDescent="0.25">
      <c r="A95" s="141" t="s">
        <v>727</v>
      </c>
      <c r="B95" s="135" t="s">
        <v>730</v>
      </c>
      <c r="C95" s="249"/>
      <c r="D95" s="249"/>
      <c r="E95" s="249"/>
      <c r="F95" s="134">
        <v>403129.4</v>
      </c>
      <c r="G95" s="134">
        <v>134376.5</v>
      </c>
      <c r="H95" s="126">
        <v>0</v>
      </c>
      <c r="I95" s="126">
        <v>0</v>
      </c>
      <c r="J95" s="134">
        <v>458722.5</v>
      </c>
      <c r="K95" s="134">
        <v>152907.5</v>
      </c>
      <c r="L95" s="126">
        <v>0</v>
      </c>
      <c r="M95" s="126">
        <v>0</v>
      </c>
      <c r="N95" s="134">
        <v>173419.5</v>
      </c>
      <c r="O95" s="134">
        <v>57806.5</v>
      </c>
      <c r="P95" s="126">
        <v>0</v>
      </c>
      <c r="Q95" s="126">
        <v>0</v>
      </c>
      <c r="R95" s="88">
        <v>2023</v>
      </c>
      <c r="S95" s="88">
        <v>2025</v>
      </c>
      <c r="T95" s="203" t="s">
        <v>750</v>
      </c>
      <c r="U95" s="99" t="s">
        <v>105</v>
      </c>
      <c r="V95" s="203" t="s">
        <v>753</v>
      </c>
      <c r="W95" s="203" t="s">
        <v>753</v>
      </c>
      <c r="X95" s="99" t="s">
        <v>754</v>
      </c>
      <c r="Y95" s="88">
        <v>2025</v>
      </c>
      <c r="Z95" s="99">
        <v>1095269.0900000001</v>
      </c>
      <c r="AA95" s="219"/>
      <c r="AB95" s="240"/>
      <c r="AC95" s="219"/>
    </row>
    <row r="96" spans="1:29" s="38" customFormat="1" ht="74.25" customHeight="1" x14ac:dyDescent="0.25">
      <c r="A96" s="141" t="s">
        <v>728</v>
      </c>
      <c r="B96" s="135" t="s">
        <v>1169</v>
      </c>
      <c r="C96" s="250"/>
      <c r="D96" s="250"/>
      <c r="E96" s="250"/>
      <c r="F96" s="134">
        <v>403444.6</v>
      </c>
      <c r="G96" s="134">
        <v>134481.5</v>
      </c>
      <c r="H96" s="126">
        <v>0</v>
      </c>
      <c r="I96" s="126">
        <v>0</v>
      </c>
      <c r="J96" s="134">
        <v>373533</v>
      </c>
      <c r="K96" s="134">
        <v>124511</v>
      </c>
      <c r="L96" s="126">
        <v>0</v>
      </c>
      <c r="M96" s="126">
        <v>0</v>
      </c>
      <c r="N96" s="126">
        <v>0</v>
      </c>
      <c r="O96" s="126">
        <v>0</v>
      </c>
      <c r="P96" s="126">
        <v>0</v>
      </c>
      <c r="Q96" s="126">
        <v>0</v>
      </c>
      <c r="R96" s="88">
        <v>2023</v>
      </c>
      <c r="S96" s="88">
        <v>2024</v>
      </c>
      <c r="T96" s="203" t="s">
        <v>750</v>
      </c>
      <c r="U96" s="99" t="s">
        <v>105</v>
      </c>
      <c r="V96" s="203" t="s">
        <v>755</v>
      </c>
      <c r="W96" s="99" t="s">
        <v>756</v>
      </c>
      <c r="X96" s="99" t="s">
        <v>757</v>
      </c>
      <c r="Y96" s="88">
        <v>2024</v>
      </c>
      <c r="Z96" s="99">
        <v>824466.65</v>
      </c>
      <c r="AA96" s="219"/>
      <c r="AB96" s="240"/>
      <c r="AC96" s="219"/>
    </row>
    <row r="97" spans="1:29" s="48" customFormat="1" ht="60.75" customHeight="1" x14ac:dyDescent="0.3">
      <c r="A97" s="24" t="s">
        <v>8</v>
      </c>
      <c r="B97" s="33" t="s">
        <v>110</v>
      </c>
      <c r="C97" s="24" t="s">
        <v>15</v>
      </c>
      <c r="D97" s="24" t="s">
        <v>15</v>
      </c>
      <c r="E97" s="24" t="s">
        <v>15</v>
      </c>
      <c r="F97" s="26">
        <f>F98+F133+F137+F186</f>
        <v>7671222.7723500002</v>
      </c>
      <c r="G97" s="26">
        <f t="shared" ref="G97:Q97" si="36">G98+G133+G137+G186</f>
        <v>1394603.6324999998</v>
      </c>
      <c r="H97" s="26">
        <f t="shared" si="36"/>
        <v>167546.50660999998</v>
      </c>
      <c r="I97" s="26">
        <f t="shared" si="36"/>
        <v>88700</v>
      </c>
      <c r="J97" s="26">
        <f t="shared" si="36"/>
        <v>8082885.4000000004</v>
      </c>
      <c r="K97" s="26">
        <f t="shared" si="36"/>
        <v>1341942.7000000002</v>
      </c>
      <c r="L97" s="26">
        <f t="shared" si="36"/>
        <v>201151.74899999998</v>
      </c>
      <c r="M97" s="26">
        <f t="shared" si="36"/>
        <v>0</v>
      </c>
      <c r="N97" s="26">
        <f t="shared" si="36"/>
        <v>201600</v>
      </c>
      <c r="O97" s="26">
        <f t="shared" si="36"/>
        <v>8400</v>
      </c>
      <c r="P97" s="26">
        <f t="shared" si="36"/>
        <v>0</v>
      </c>
      <c r="Q97" s="26">
        <f t="shared" si="36"/>
        <v>20000</v>
      </c>
      <c r="R97" s="24" t="s">
        <v>15</v>
      </c>
      <c r="S97" s="24" t="s">
        <v>15</v>
      </c>
      <c r="T97" s="24" t="s">
        <v>15</v>
      </c>
      <c r="U97" s="24" t="s">
        <v>15</v>
      </c>
      <c r="V97" s="24" t="s">
        <v>15</v>
      </c>
      <c r="W97" s="24" t="s">
        <v>15</v>
      </c>
      <c r="X97" s="24" t="s">
        <v>15</v>
      </c>
      <c r="Y97" s="24" t="s">
        <v>15</v>
      </c>
      <c r="Z97" s="24" t="s">
        <v>15</v>
      </c>
      <c r="AA97" s="24" t="s">
        <v>15</v>
      </c>
      <c r="AB97" s="24" t="s">
        <v>15</v>
      </c>
      <c r="AC97" s="24" t="s">
        <v>15</v>
      </c>
    </row>
    <row r="98" spans="1:29" s="42" customFormat="1" ht="27.75" customHeight="1" x14ac:dyDescent="0.25">
      <c r="A98" s="51" t="s">
        <v>2</v>
      </c>
      <c r="B98" s="52" t="s">
        <v>111</v>
      </c>
      <c r="C98" s="5" t="s">
        <v>15</v>
      </c>
      <c r="D98" s="5" t="s">
        <v>15</v>
      </c>
      <c r="E98" s="5" t="s">
        <v>15</v>
      </c>
      <c r="F98" s="11">
        <f>F99+F119+F121+F124+F126+F128</f>
        <v>2595630.7948500002</v>
      </c>
      <c r="G98" s="11">
        <f t="shared" ref="G98:Q98" si="37">G99+G119+G121+G124+G126+G128</f>
        <v>490636.73999999993</v>
      </c>
      <c r="H98" s="11">
        <f t="shared" si="37"/>
        <v>103938.52691999999</v>
      </c>
      <c r="I98" s="11">
        <f t="shared" si="37"/>
        <v>88700</v>
      </c>
      <c r="J98" s="11">
        <f t="shared" si="37"/>
        <v>4307330.2</v>
      </c>
      <c r="K98" s="11">
        <f t="shared" si="37"/>
        <v>843089.50000000012</v>
      </c>
      <c r="L98" s="11">
        <f t="shared" si="37"/>
        <v>201151.74899999998</v>
      </c>
      <c r="M98" s="11">
        <f t="shared" si="37"/>
        <v>0</v>
      </c>
      <c r="N98" s="11">
        <f t="shared" si="37"/>
        <v>201600</v>
      </c>
      <c r="O98" s="11">
        <f t="shared" si="37"/>
        <v>8400</v>
      </c>
      <c r="P98" s="11">
        <f t="shared" si="37"/>
        <v>0</v>
      </c>
      <c r="Q98" s="11">
        <f t="shared" si="37"/>
        <v>20000</v>
      </c>
      <c r="R98" s="5" t="s">
        <v>15</v>
      </c>
      <c r="S98" s="5" t="s">
        <v>15</v>
      </c>
      <c r="T98" s="5" t="s">
        <v>15</v>
      </c>
      <c r="U98" s="5" t="s">
        <v>15</v>
      </c>
      <c r="V98" s="5" t="s">
        <v>15</v>
      </c>
      <c r="W98" s="5" t="s">
        <v>15</v>
      </c>
      <c r="X98" s="5" t="s">
        <v>15</v>
      </c>
      <c r="Y98" s="5" t="s">
        <v>15</v>
      </c>
      <c r="Z98" s="5" t="s">
        <v>15</v>
      </c>
      <c r="AA98" s="5" t="s">
        <v>15</v>
      </c>
      <c r="AB98" s="5" t="s">
        <v>15</v>
      </c>
      <c r="AC98" s="5" t="s">
        <v>15</v>
      </c>
    </row>
    <row r="99" spans="1:29" s="43" customFormat="1" ht="57.75" customHeight="1" x14ac:dyDescent="0.25">
      <c r="A99" s="9" t="s">
        <v>1</v>
      </c>
      <c r="B99" s="53" t="s">
        <v>258</v>
      </c>
      <c r="C99" s="9" t="s">
        <v>15</v>
      </c>
      <c r="D99" s="9" t="s">
        <v>15</v>
      </c>
      <c r="E99" s="9" t="s">
        <v>15</v>
      </c>
      <c r="F99" s="8">
        <f>F100+F102+F104+F107+F115+F116+F117+F118</f>
        <v>2120062.1</v>
      </c>
      <c r="G99" s="8">
        <f t="shared" ref="G99:Q99" si="38">G100+G102+G104+G107+G115+G116+G117+G118</f>
        <v>370414.53999999992</v>
      </c>
      <c r="H99" s="8">
        <f t="shared" si="38"/>
        <v>95462.599999999991</v>
      </c>
      <c r="I99" s="8">
        <f t="shared" si="38"/>
        <v>0</v>
      </c>
      <c r="J99" s="8">
        <f t="shared" si="38"/>
        <v>3763167.3</v>
      </c>
      <c r="K99" s="8">
        <f t="shared" si="38"/>
        <v>720062.70000000007</v>
      </c>
      <c r="L99" s="8">
        <f t="shared" si="38"/>
        <v>191584.8</v>
      </c>
      <c r="M99" s="8">
        <f t="shared" si="38"/>
        <v>0</v>
      </c>
      <c r="N99" s="8">
        <f t="shared" si="38"/>
        <v>0</v>
      </c>
      <c r="O99" s="8">
        <f t="shared" si="38"/>
        <v>0</v>
      </c>
      <c r="P99" s="8">
        <f t="shared" si="38"/>
        <v>0</v>
      </c>
      <c r="Q99" s="8">
        <f t="shared" si="38"/>
        <v>0</v>
      </c>
      <c r="R99" s="9" t="s">
        <v>15</v>
      </c>
      <c r="S99" s="9" t="s">
        <v>15</v>
      </c>
      <c r="T99" s="9" t="s">
        <v>15</v>
      </c>
      <c r="U99" s="9" t="s">
        <v>15</v>
      </c>
      <c r="V99" s="9" t="s">
        <v>15</v>
      </c>
      <c r="W99" s="9" t="s">
        <v>15</v>
      </c>
      <c r="X99" s="9" t="s">
        <v>15</v>
      </c>
      <c r="Y99" s="9" t="s">
        <v>15</v>
      </c>
      <c r="Z99" s="9" t="s">
        <v>15</v>
      </c>
      <c r="AA99" s="9" t="s">
        <v>15</v>
      </c>
      <c r="AB99" s="9" t="s">
        <v>15</v>
      </c>
      <c r="AC99" s="9" t="s">
        <v>15</v>
      </c>
    </row>
    <row r="100" spans="1:29" s="3" customFormat="1" ht="53.25" customHeight="1" outlineLevel="2" x14ac:dyDescent="0.25">
      <c r="A100" s="167" t="s">
        <v>25</v>
      </c>
      <c r="B100" s="169" t="s">
        <v>158</v>
      </c>
      <c r="C100" s="205" t="s">
        <v>4</v>
      </c>
      <c r="D100" s="221" t="s">
        <v>591</v>
      </c>
      <c r="E100" s="221" t="s">
        <v>377</v>
      </c>
      <c r="F100" s="170">
        <v>446446.2</v>
      </c>
      <c r="G100" s="144">
        <f>595261.6-F100</f>
        <v>148815.39999999997</v>
      </c>
      <c r="H100" s="144">
        <v>80131.399999999994</v>
      </c>
      <c r="I100" s="144">
        <v>0</v>
      </c>
      <c r="J100" s="170">
        <v>698515.8</v>
      </c>
      <c r="K100" s="170">
        <f>931354.4-J100</f>
        <v>232838.59999999998</v>
      </c>
      <c r="L100" s="144">
        <v>125374.6</v>
      </c>
      <c r="M100" s="170">
        <v>0</v>
      </c>
      <c r="N100" s="170">
        <v>0</v>
      </c>
      <c r="O100" s="170">
        <v>0</v>
      </c>
      <c r="P100" s="170">
        <v>0</v>
      </c>
      <c r="Q100" s="170">
        <v>0</v>
      </c>
      <c r="R100" s="208">
        <v>2023</v>
      </c>
      <c r="S100" s="208">
        <v>2024</v>
      </c>
      <c r="T100" s="196" t="s">
        <v>590</v>
      </c>
      <c r="U100" s="196" t="s">
        <v>105</v>
      </c>
      <c r="V100" s="152" t="s">
        <v>15</v>
      </c>
      <c r="W100" s="152" t="s">
        <v>15</v>
      </c>
      <c r="X100" s="152" t="s">
        <v>15</v>
      </c>
      <c r="Y100" s="208">
        <v>2024</v>
      </c>
      <c r="Z100" s="152" t="s">
        <v>15</v>
      </c>
      <c r="AA100" s="221" t="s">
        <v>592</v>
      </c>
      <c r="AB100" s="220" t="s">
        <v>705</v>
      </c>
      <c r="AC100" s="221" t="s">
        <v>593</v>
      </c>
    </row>
    <row r="101" spans="1:29" s="3" customFormat="1" ht="66" customHeight="1" outlineLevel="2" x14ac:dyDescent="0.25">
      <c r="A101" s="167" t="s">
        <v>293</v>
      </c>
      <c r="B101" s="200" t="s">
        <v>725</v>
      </c>
      <c r="C101" s="205" t="s">
        <v>4</v>
      </c>
      <c r="D101" s="221"/>
      <c r="E101" s="221"/>
      <c r="F101" s="170">
        <v>446446.2</v>
      </c>
      <c r="G101" s="144">
        <f>595261.6-F101</f>
        <v>148815.39999999997</v>
      </c>
      <c r="H101" s="144">
        <v>80131.399999999994</v>
      </c>
      <c r="I101" s="144">
        <v>0</v>
      </c>
      <c r="J101" s="170">
        <v>698515.8</v>
      </c>
      <c r="K101" s="170">
        <f>931354.4-J101</f>
        <v>232838.59999999998</v>
      </c>
      <c r="L101" s="144">
        <v>125374.6</v>
      </c>
      <c r="M101" s="170">
        <v>0</v>
      </c>
      <c r="N101" s="170">
        <v>0</v>
      </c>
      <c r="O101" s="170">
        <v>0</v>
      </c>
      <c r="P101" s="170">
        <v>0</v>
      </c>
      <c r="Q101" s="170">
        <v>0</v>
      </c>
      <c r="R101" s="208">
        <v>2023</v>
      </c>
      <c r="S101" s="208">
        <v>2024</v>
      </c>
      <c r="T101" s="196" t="s">
        <v>590</v>
      </c>
      <c r="U101" s="196" t="s">
        <v>105</v>
      </c>
      <c r="V101" s="152" t="s">
        <v>15</v>
      </c>
      <c r="W101" s="152" t="s">
        <v>15</v>
      </c>
      <c r="X101" s="152" t="s">
        <v>15</v>
      </c>
      <c r="Y101" s="208">
        <v>2024</v>
      </c>
      <c r="Z101" s="152" t="s">
        <v>15</v>
      </c>
      <c r="AA101" s="221"/>
      <c r="AB101" s="220"/>
      <c r="AC101" s="221"/>
    </row>
    <row r="102" spans="1:29" s="3" customFormat="1" ht="132.75" customHeight="1" outlineLevel="2" x14ac:dyDescent="0.25">
      <c r="A102" s="167" t="s">
        <v>78</v>
      </c>
      <c r="B102" s="169" t="s">
        <v>159</v>
      </c>
      <c r="C102" s="205" t="s">
        <v>4</v>
      </c>
      <c r="D102" s="221" t="s">
        <v>591</v>
      </c>
      <c r="E102" s="221" t="s">
        <v>377</v>
      </c>
      <c r="F102" s="170">
        <v>180485.1</v>
      </c>
      <c r="G102" s="170">
        <v>7520.2129999999888</v>
      </c>
      <c r="H102" s="170">
        <v>1025.5</v>
      </c>
      <c r="I102" s="170">
        <v>0</v>
      </c>
      <c r="J102" s="170">
        <v>0</v>
      </c>
      <c r="K102" s="170">
        <v>0</v>
      </c>
      <c r="L102" s="170">
        <v>0</v>
      </c>
      <c r="M102" s="170">
        <v>0</v>
      </c>
      <c r="N102" s="170">
        <v>0</v>
      </c>
      <c r="O102" s="170">
        <v>0</v>
      </c>
      <c r="P102" s="170">
        <v>0</v>
      </c>
      <c r="Q102" s="170">
        <v>0</v>
      </c>
      <c r="R102" s="208">
        <f>R103</f>
        <v>2023</v>
      </c>
      <c r="S102" s="208">
        <f t="shared" ref="S102" si="39">S103</f>
        <v>2023</v>
      </c>
      <c r="T102" s="196" t="s">
        <v>590</v>
      </c>
      <c r="U102" s="196" t="s">
        <v>105</v>
      </c>
      <c r="V102" s="152" t="s">
        <v>15</v>
      </c>
      <c r="W102" s="152" t="s">
        <v>15</v>
      </c>
      <c r="X102" s="152" t="s">
        <v>15</v>
      </c>
      <c r="Y102" s="208">
        <v>2023</v>
      </c>
      <c r="Z102" s="152" t="s">
        <v>15</v>
      </c>
      <c r="AA102" s="220" t="s">
        <v>160</v>
      </c>
      <c r="AB102" s="220" t="s">
        <v>704</v>
      </c>
      <c r="AC102" s="221" t="s">
        <v>595</v>
      </c>
    </row>
    <row r="103" spans="1:29" s="3" customFormat="1" ht="97.5" customHeight="1" outlineLevel="2" x14ac:dyDescent="0.25">
      <c r="A103" s="167" t="s">
        <v>300</v>
      </c>
      <c r="B103" s="200" t="s">
        <v>594</v>
      </c>
      <c r="C103" s="205" t="s">
        <v>4</v>
      </c>
      <c r="D103" s="221"/>
      <c r="E103" s="221"/>
      <c r="F103" s="170">
        <v>180485.1</v>
      </c>
      <c r="G103" s="170">
        <f>188005.313-F103</f>
        <v>7520.2129999999888</v>
      </c>
      <c r="H103" s="170">
        <v>1025.5</v>
      </c>
      <c r="I103" s="170">
        <v>0</v>
      </c>
      <c r="J103" s="170">
        <v>0</v>
      </c>
      <c r="K103" s="170">
        <v>0</v>
      </c>
      <c r="L103" s="170">
        <v>0</v>
      </c>
      <c r="M103" s="170">
        <v>0</v>
      </c>
      <c r="N103" s="170">
        <v>0</v>
      </c>
      <c r="O103" s="170">
        <v>0</v>
      </c>
      <c r="P103" s="170">
        <v>0</v>
      </c>
      <c r="Q103" s="170">
        <v>0</v>
      </c>
      <c r="R103" s="208">
        <v>2023</v>
      </c>
      <c r="S103" s="208">
        <v>2023</v>
      </c>
      <c r="T103" s="196" t="s">
        <v>590</v>
      </c>
      <c r="U103" s="196" t="s">
        <v>105</v>
      </c>
      <c r="V103" s="152" t="s">
        <v>15</v>
      </c>
      <c r="W103" s="152" t="s">
        <v>15</v>
      </c>
      <c r="X103" s="152" t="s">
        <v>15</v>
      </c>
      <c r="Y103" s="208">
        <v>2023</v>
      </c>
      <c r="Z103" s="152" t="s">
        <v>15</v>
      </c>
      <c r="AA103" s="220"/>
      <c r="AB103" s="220"/>
      <c r="AC103" s="221"/>
    </row>
    <row r="104" spans="1:29" s="38" customFormat="1" ht="79.5" customHeight="1" outlineLevel="2" x14ac:dyDescent="0.25">
      <c r="A104" s="90" t="s">
        <v>86</v>
      </c>
      <c r="B104" s="121" t="s">
        <v>161</v>
      </c>
      <c r="C104" s="203" t="s">
        <v>113</v>
      </c>
      <c r="D104" s="218" t="s">
        <v>591</v>
      </c>
      <c r="E104" s="218" t="s">
        <v>377</v>
      </c>
      <c r="F104" s="123">
        <f>F105+F106</f>
        <v>332132.7</v>
      </c>
      <c r="G104" s="123">
        <f>SUM(G105:G106)</f>
        <v>110710.89999999997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23">
        <v>0</v>
      </c>
      <c r="R104" s="99" t="s">
        <v>15</v>
      </c>
      <c r="S104" s="99" t="s">
        <v>15</v>
      </c>
      <c r="T104" s="99" t="s">
        <v>15</v>
      </c>
      <c r="U104" s="99" t="s">
        <v>15</v>
      </c>
      <c r="V104" s="99" t="s">
        <v>15</v>
      </c>
      <c r="W104" s="99" t="s">
        <v>15</v>
      </c>
      <c r="X104" s="99" t="s">
        <v>15</v>
      </c>
      <c r="Y104" s="99" t="s">
        <v>15</v>
      </c>
      <c r="Z104" s="99" t="s">
        <v>15</v>
      </c>
      <c r="AA104" s="219" t="s">
        <v>162</v>
      </c>
      <c r="AB104" s="219" t="s">
        <v>704</v>
      </c>
      <c r="AC104" s="218" t="s">
        <v>603</v>
      </c>
    </row>
    <row r="105" spans="1:29" s="3" customFormat="1" ht="47.25" outlineLevel="2" x14ac:dyDescent="0.25">
      <c r="A105" s="90" t="s">
        <v>596</v>
      </c>
      <c r="B105" s="101" t="s">
        <v>597</v>
      </c>
      <c r="C105" s="203" t="s">
        <v>113</v>
      </c>
      <c r="D105" s="218"/>
      <c r="E105" s="218"/>
      <c r="F105" s="123">
        <v>166066.35</v>
      </c>
      <c r="G105" s="123">
        <f>221421.8-166066.35</f>
        <v>55355.449999999983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0</v>
      </c>
      <c r="N105" s="123">
        <v>0</v>
      </c>
      <c r="O105" s="123">
        <v>0</v>
      </c>
      <c r="P105" s="123">
        <v>0</v>
      </c>
      <c r="Q105" s="123">
        <v>0</v>
      </c>
      <c r="R105" s="82">
        <v>2021</v>
      </c>
      <c r="S105" s="82">
        <v>2023</v>
      </c>
      <c r="T105" s="82" t="s">
        <v>598</v>
      </c>
      <c r="U105" s="82" t="s">
        <v>105</v>
      </c>
      <c r="V105" s="99" t="s">
        <v>15</v>
      </c>
      <c r="W105" s="204" t="s">
        <v>599</v>
      </c>
      <c r="X105" s="99" t="s">
        <v>15</v>
      </c>
      <c r="Y105" s="82">
        <v>2023</v>
      </c>
      <c r="Z105" s="123">
        <v>412885.22</v>
      </c>
      <c r="AA105" s="219"/>
      <c r="AB105" s="219"/>
      <c r="AC105" s="218"/>
    </row>
    <row r="106" spans="1:29" s="3" customFormat="1" ht="47.25" outlineLevel="2" x14ac:dyDescent="0.25">
      <c r="A106" s="90" t="s">
        <v>600</v>
      </c>
      <c r="B106" s="101" t="s">
        <v>601</v>
      </c>
      <c r="C106" s="203" t="s">
        <v>113</v>
      </c>
      <c r="D106" s="218"/>
      <c r="E106" s="218"/>
      <c r="F106" s="123">
        <v>166066.35</v>
      </c>
      <c r="G106" s="123">
        <f>221421.8-F106</f>
        <v>55355.449999999983</v>
      </c>
      <c r="H106" s="123">
        <v>0</v>
      </c>
      <c r="I106" s="123">
        <v>0</v>
      </c>
      <c r="J106" s="123">
        <v>0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0</v>
      </c>
      <c r="R106" s="82">
        <v>2021</v>
      </c>
      <c r="S106" s="82">
        <v>2023</v>
      </c>
      <c r="T106" s="82" t="s">
        <v>598</v>
      </c>
      <c r="U106" s="82" t="s">
        <v>105</v>
      </c>
      <c r="V106" s="99" t="s">
        <v>15</v>
      </c>
      <c r="W106" s="204" t="s">
        <v>602</v>
      </c>
      <c r="X106" s="99" t="s">
        <v>15</v>
      </c>
      <c r="Y106" s="82">
        <v>2023</v>
      </c>
      <c r="Z106" s="123">
        <v>461065.72</v>
      </c>
      <c r="AA106" s="219"/>
      <c r="AB106" s="219"/>
      <c r="AC106" s="218"/>
    </row>
    <row r="107" spans="1:29" s="3" customFormat="1" ht="58.5" customHeight="1" outlineLevel="2" x14ac:dyDescent="0.25">
      <c r="A107" s="167" t="s">
        <v>283</v>
      </c>
      <c r="B107" s="169" t="s">
        <v>163</v>
      </c>
      <c r="C107" s="205" t="s">
        <v>4</v>
      </c>
      <c r="D107" s="221" t="s">
        <v>591</v>
      </c>
      <c r="E107" s="221" t="s">
        <v>377</v>
      </c>
      <c r="F107" s="170">
        <f>SUM(F108:F114)</f>
        <v>856312.6</v>
      </c>
      <c r="G107" s="170">
        <f t="shared" ref="G107:Q107" si="40">SUM(G108:G114)</f>
        <v>74266.426999999996</v>
      </c>
      <c r="H107" s="170">
        <f t="shared" si="40"/>
        <v>14305.7</v>
      </c>
      <c r="I107" s="170">
        <f t="shared" si="40"/>
        <v>0</v>
      </c>
      <c r="J107" s="170">
        <f t="shared" si="40"/>
        <v>2821898.3</v>
      </c>
      <c r="K107" s="170">
        <f t="shared" si="40"/>
        <v>464859.2</v>
      </c>
      <c r="L107" s="170">
        <f t="shared" si="40"/>
        <v>66210.2</v>
      </c>
      <c r="M107" s="170">
        <f t="shared" si="40"/>
        <v>0</v>
      </c>
      <c r="N107" s="170">
        <f t="shared" si="40"/>
        <v>0</v>
      </c>
      <c r="O107" s="170">
        <f t="shared" si="40"/>
        <v>0</v>
      </c>
      <c r="P107" s="170">
        <f t="shared" si="40"/>
        <v>0</v>
      </c>
      <c r="Q107" s="170">
        <f t="shared" si="40"/>
        <v>0</v>
      </c>
      <c r="R107" s="152" t="s">
        <v>15</v>
      </c>
      <c r="S107" s="152" t="s">
        <v>15</v>
      </c>
      <c r="T107" s="152" t="s">
        <v>15</v>
      </c>
      <c r="U107" s="152" t="s">
        <v>15</v>
      </c>
      <c r="V107" s="152" t="s">
        <v>15</v>
      </c>
      <c r="W107" s="152" t="s">
        <v>15</v>
      </c>
      <c r="X107" s="152" t="s">
        <v>15</v>
      </c>
      <c r="Y107" s="152" t="s">
        <v>15</v>
      </c>
      <c r="Z107" s="152" t="s">
        <v>15</v>
      </c>
      <c r="AA107" s="220" t="s">
        <v>614</v>
      </c>
      <c r="AB107" s="220" t="s">
        <v>704</v>
      </c>
      <c r="AC107" s="221" t="s">
        <v>615</v>
      </c>
    </row>
    <row r="108" spans="1:29" s="3" customFormat="1" ht="36.75" customHeight="1" outlineLevel="2" x14ac:dyDescent="0.25">
      <c r="A108" s="167" t="s">
        <v>604</v>
      </c>
      <c r="B108" s="200" t="s">
        <v>1170</v>
      </c>
      <c r="C108" s="205" t="s">
        <v>4</v>
      </c>
      <c r="D108" s="221"/>
      <c r="E108" s="221"/>
      <c r="F108" s="170">
        <v>100277.2</v>
      </c>
      <c r="G108" s="170">
        <f>104455.417-F108</f>
        <v>4178.2170000000042</v>
      </c>
      <c r="H108" s="170">
        <v>2249.9</v>
      </c>
      <c r="I108" s="170">
        <v>0</v>
      </c>
      <c r="J108" s="170">
        <v>0</v>
      </c>
      <c r="K108" s="170">
        <v>0</v>
      </c>
      <c r="L108" s="170">
        <v>0</v>
      </c>
      <c r="M108" s="170">
        <v>0</v>
      </c>
      <c r="N108" s="170">
        <v>0</v>
      </c>
      <c r="O108" s="170">
        <v>0</v>
      </c>
      <c r="P108" s="170">
        <v>0</v>
      </c>
      <c r="Q108" s="170">
        <v>0</v>
      </c>
      <c r="R108" s="208">
        <v>2021</v>
      </c>
      <c r="S108" s="208">
        <v>2023</v>
      </c>
      <c r="T108" s="208" t="s">
        <v>605</v>
      </c>
      <c r="U108" s="208" t="s">
        <v>105</v>
      </c>
      <c r="V108" s="152" t="s">
        <v>15</v>
      </c>
      <c r="W108" s="143" t="s">
        <v>606</v>
      </c>
      <c r="X108" s="152" t="s">
        <v>15</v>
      </c>
      <c r="Y108" s="208">
        <v>2023</v>
      </c>
      <c r="Z108" s="170">
        <v>325800.08</v>
      </c>
      <c r="AA108" s="220"/>
      <c r="AB108" s="220"/>
      <c r="AC108" s="221"/>
    </row>
    <row r="109" spans="1:29" s="3" customFormat="1" ht="36.75" customHeight="1" outlineLevel="2" x14ac:dyDescent="0.25">
      <c r="A109" s="167" t="s">
        <v>607</v>
      </c>
      <c r="B109" s="200" t="s">
        <v>608</v>
      </c>
      <c r="C109" s="205" t="s">
        <v>4</v>
      </c>
      <c r="D109" s="221"/>
      <c r="E109" s="221"/>
      <c r="F109" s="170">
        <v>166484.4</v>
      </c>
      <c r="G109" s="170">
        <f>173421.25-F109</f>
        <v>6936.8500000000058</v>
      </c>
      <c r="H109" s="170">
        <v>3735.3</v>
      </c>
      <c r="I109" s="170">
        <v>0</v>
      </c>
      <c r="J109" s="170">
        <v>0</v>
      </c>
      <c r="K109" s="170">
        <v>0</v>
      </c>
      <c r="L109" s="170">
        <v>0</v>
      </c>
      <c r="M109" s="170">
        <v>0</v>
      </c>
      <c r="N109" s="170">
        <v>0</v>
      </c>
      <c r="O109" s="170">
        <v>0</v>
      </c>
      <c r="P109" s="170">
        <v>0</v>
      </c>
      <c r="Q109" s="170">
        <v>0</v>
      </c>
      <c r="R109" s="208">
        <v>2021</v>
      </c>
      <c r="S109" s="208">
        <v>2023</v>
      </c>
      <c r="T109" s="208" t="s">
        <v>609</v>
      </c>
      <c r="U109" s="208" t="s">
        <v>105</v>
      </c>
      <c r="V109" s="152" t="s">
        <v>15</v>
      </c>
      <c r="W109" s="143" t="s">
        <v>610</v>
      </c>
      <c r="X109" s="152" t="s">
        <v>15</v>
      </c>
      <c r="Y109" s="208">
        <v>2023</v>
      </c>
      <c r="Z109" s="170">
        <v>430878.33</v>
      </c>
      <c r="AA109" s="220"/>
      <c r="AB109" s="220"/>
      <c r="AC109" s="221"/>
    </row>
    <row r="110" spans="1:29" s="3" customFormat="1" ht="63" outlineLevel="2" x14ac:dyDescent="0.25">
      <c r="A110" s="167" t="s">
        <v>611</v>
      </c>
      <c r="B110" s="200" t="s">
        <v>1171</v>
      </c>
      <c r="C110" s="205" t="s">
        <v>4</v>
      </c>
      <c r="D110" s="221"/>
      <c r="E110" s="221"/>
      <c r="F110" s="170">
        <v>170012.7</v>
      </c>
      <c r="G110" s="170">
        <f>177096.56-F110</f>
        <v>7083.859999999986</v>
      </c>
      <c r="H110" s="170">
        <v>3814.4</v>
      </c>
      <c r="I110" s="170">
        <v>0</v>
      </c>
      <c r="J110" s="170">
        <v>0</v>
      </c>
      <c r="K110" s="170">
        <v>0</v>
      </c>
      <c r="L110" s="170">
        <v>0</v>
      </c>
      <c r="M110" s="170">
        <v>0</v>
      </c>
      <c r="N110" s="170">
        <v>0</v>
      </c>
      <c r="O110" s="170">
        <v>0</v>
      </c>
      <c r="P110" s="170">
        <v>0</v>
      </c>
      <c r="Q110" s="170">
        <v>0</v>
      </c>
      <c r="R110" s="208">
        <v>2021</v>
      </c>
      <c r="S110" s="208">
        <v>2023</v>
      </c>
      <c r="T110" s="208" t="s">
        <v>612</v>
      </c>
      <c r="U110" s="208" t="s">
        <v>105</v>
      </c>
      <c r="V110" s="152" t="s">
        <v>15</v>
      </c>
      <c r="W110" s="143" t="s">
        <v>613</v>
      </c>
      <c r="X110" s="152" t="s">
        <v>15</v>
      </c>
      <c r="Y110" s="208">
        <v>2023</v>
      </c>
      <c r="Z110" s="170">
        <v>495891.63</v>
      </c>
      <c r="AA110" s="220"/>
      <c r="AB110" s="220"/>
      <c r="AC110" s="221"/>
    </row>
    <row r="111" spans="1:29" s="3" customFormat="1" ht="47.25" outlineLevel="2" x14ac:dyDescent="0.25">
      <c r="A111" s="167" t="s">
        <v>844</v>
      </c>
      <c r="B111" s="200" t="s">
        <v>919</v>
      </c>
      <c r="C111" s="205" t="s">
        <v>4</v>
      </c>
      <c r="D111" s="221"/>
      <c r="E111" s="221"/>
      <c r="F111" s="170">
        <v>120599</v>
      </c>
      <c r="G111" s="170">
        <v>5025</v>
      </c>
      <c r="H111" s="170">
        <v>2705.8</v>
      </c>
      <c r="I111" s="170">
        <v>0</v>
      </c>
      <c r="J111" s="170">
        <v>781568.2</v>
      </c>
      <c r="K111" s="170">
        <v>32565.4</v>
      </c>
      <c r="L111" s="170">
        <v>17535.2</v>
      </c>
      <c r="M111" s="170">
        <v>0</v>
      </c>
      <c r="N111" s="170">
        <v>0</v>
      </c>
      <c r="O111" s="170">
        <v>0</v>
      </c>
      <c r="P111" s="170">
        <v>0</v>
      </c>
      <c r="Q111" s="170">
        <v>0</v>
      </c>
      <c r="R111" s="208">
        <v>2023</v>
      </c>
      <c r="S111" s="208">
        <v>2024</v>
      </c>
      <c r="T111" s="208" t="s">
        <v>848</v>
      </c>
      <c r="U111" s="208" t="s">
        <v>105</v>
      </c>
      <c r="V111" s="152" t="s">
        <v>15</v>
      </c>
      <c r="W111" s="208" t="s">
        <v>848</v>
      </c>
      <c r="X111" s="152" t="s">
        <v>15</v>
      </c>
      <c r="Y111" s="208">
        <v>2024</v>
      </c>
      <c r="Z111" s="170">
        <v>2265232.94</v>
      </c>
      <c r="AA111" s="205" t="s">
        <v>1066</v>
      </c>
      <c r="AB111" s="220"/>
      <c r="AC111" s="208" t="s">
        <v>913</v>
      </c>
    </row>
    <row r="112" spans="1:29" s="3" customFormat="1" ht="47.25" outlineLevel="2" x14ac:dyDescent="0.25">
      <c r="A112" s="167" t="s">
        <v>845</v>
      </c>
      <c r="B112" s="200" t="s">
        <v>920</v>
      </c>
      <c r="C112" s="205" t="s">
        <v>4</v>
      </c>
      <c r="D112" s="221"/>
      <c r="E112" s="221"/>
      <c r="F112" s="170">
        <v>131512.70000000001</v>
      </c>
      <c r="G112" s="170">
        <v>5479.7</v>
      </c>
      <c r="H112" s="170">
        <v>541.9</v>
      </c>
      <c r="I112" s="170">
        <v>0</v>
      </c>
      <c r="J112" s="170">
        <v>852296.8</v>
      </c>
      <c r="K112" s="170">
        <v>35512.400000000001</v>
      </c>
      <c r="L112" s="170">
        <v>3512.2</v>
      </c>
      <c r="M112" s="170">
        <v>0</v>
      </c>
      <c r="N112" s="170">
        <v>0</v>
      </c>
      <c r="O112" s="170">
        <v>0</v>
      </c>
      <c r="P112" s="170">
        <v>0</v>
      </c>
      <c r="Q112" s="170">
        <v>0</v>
      </c>
      <c r="R112" s="208">
        <v>2023</v>
      </c>
      <c r="S112" s="208">
        <v>2024</v>
      </c>
      <c r="T112" s="208" t="s">
        <v>849</v>
      </c>
      <c r="U112" s="208" t="s">
        <v>105</v>
      </c>
      <c r="V112" s="152" t="s">
        <v>15</v>
      </c>
      <c r="W112" s="208" t="s">
        <v>850</v>
      </c>
      <c r="X112" s="152" t="s">
        <v>15</v>
      </c>
      <c r="Y112" s="208">
        <v>2024</v>
      </c>
      <c r="Z112" s="170">
        <v>2427713.7000000002</v>
      </c>
      <c r="AA112" s="205" t="s">
        <v>1064</v>
      </c>
      <c r="AB112" s="220"/>
      <c r="AC112" s="208" t="s">
        <v>914</v>
      </c>
    </row>
    <row r="113" spans="1:29" s="3" customFormat="1" ht="47.25" outlineLevel="2" x14ac:dyDescent="0.25">
      <c r="A113" s="167" t="s">
        <v>846</v>
      </c>
      <c r="B113" s="200" t="s">
        <v>963</v>
      </c>
      <c r="C113" s="205" t="s">
        <v>4</v>
      </c>
      <c r="D113" s="221"/>
      <c r="E113" s="221"/>
      <c r="F113" s="170">
        <v>126546.6</v>
      </c>
      <c r="G113" s="170">
        <v>5272.8</v>
      </c>
      <c r="H113" s="170">
        <v>858.4</v>
      </c>
      <c r="I113" s="170">
        <v>0</v>
      </c>
      <c r="J113" s="170">
        <v>820113.3</v>
      </c>
      <c r="K113" s="170">
        <v>34171.4</v>
      </c>
      <c r="L113" s="170">
        <v>5562.8</v>
      </c>
      <c r="M113" s="170">
        <v>0</v>
      </c>
      <c r="N113" s="170">
        <v>0</v>
      </c>
      <c r="O113" s="170">
        <v>0</v>
      </c>
      <c r="P113" s="170">
        <v>0</v>
      </c>
      <c r="Q113" s="170">
        <v>0</v>
      </c>
      <c r="R113" s="208">
        <v>2023</v>
      </c>
      <c r="S113" s="208">
        <v>2024</v>
      </c>
      <c r="T113" s="208" t="s">
        <v>848</v>
      </c>
      <c r="U113" s="208" t="s">
        <v>105</v>
      </c>
      <c r="V113" s="152" t="s">
        <v>15</v>
      </c>
      <c r="W113" s="208" t="s">
        <v>848</v>
      </c>
      <c r="X113" s="152" t="s">
        <v>15</v>
      </c>
      <c r="Y113" s="208">
        <v>2024</v>
      </c>
      <c r="Z113" s="170">
        <v>2629449.37</v>
      </c>
      <c r="AA113" s="205" t="s">
        <v>1065</v>
      </c>
      <c r="AB113" s="220"/>
      <c r="AC113" s="208" t="s">
        <v>915</v>
      </c>
    </row>
    <row r="114" spans="1:29" s="3" customFormat="1" ht="47.25" outlineLevel="2" x14ac:dyDescent="0.25">
      <c r="A114" s="167" t="s">
        <v>847</v>
      </c>
      <c r="B114" s="200" t="s">
        <v>921</v>
      </c>
      <c r="C114" s="205" t="s">
        <v>4</v>
      </c>
      <c r="D114" s="221"/>
      <c r="E114" s="221"/>
      <c r="F114" s="170">
        <f>408800*0.1</f>
        <v>40880</v>
      </c>
      <c r="G114" s="170">
        <f>402900*0.1</f>
        <v>40290</v>
      </c>
      <c r="H114" s="170">
        <f>40000*0.01</f>
        <v>400</v>
      </c>
      <c r="I114" s="170">
        <v>0</v>
      </c>
      <c r="J114" s="170">
        <f>408800-F114</f>
        <v>367920</v>
      </c>
      <c r="K114" s="170">
        <f>402900-G114</f>
        <v>362610</v>
      </c>
      <c r="L114" s="170">
        <f>40000-H114</f>
        <v>39600</v>
      </c>
      <c r="M114" s="170">
        <v>0</v>
      </c>
      <c r="N114" s="170">
        <v>0</v>
      </c>
      <c r="O114" s="170">
        <v>0</v>
      </c>
      <c r="P114" s="170">
        <v>0</v>
      </c>
      <c r="Q114" s="170">
        <v>0</v>
      </c>
      <c r="R114" s="208">
        <v>2023</v>
      </c>
      <c r="S114" s="208">
        <v>2024</v>
      </c>
      <c r="T114" s="208" t="s">
        <v>851</v>
      </c>
      <c r="U114" s="208" t="s">
        <v>105</v>
      </c>
      <c r="V114" s="152" t="s">
        <v>15</v>
      </c>
      <c r="W114" s="143" t="s">
        <v>852</v>
      </c>
      <c r="X114" s="152" t="s">
        <v>15</v>
      </c>
      <c r="Y114" s="208">
        <v>2024</v>
      </c>
      <c r="Z114" s="170">
        <v>851651.75</v>
      </c>
      <c r="AA114" s="205" t="s">
        <v>1063</v>
      </c>
      <c r="AB114" s="220"/>
      <c r="AC114" s="208" t="s">
        <v>916</v>
      </c>
    </row>
    <row r="115" spans="1:29" s="38" customFormat="1" ht="150.75" customHeight="1" outlineLevel="2" x14ac:dyDescent="0.25">
      <c r="A115" s="90" t="s">
        <v>284</v>
      </c>
      <c r="B115" s="121" t="s">
        <v>164</v>
      </c>
      <c r="C115" s="203" t="s">
        <v>4</v>
      </c>
      <c r="D115" s="203" t="s">
        <v>591</v>
      </c>
      <c r="E115" s="203" t="s">
        <v>591</v>
      </c>
      <c r="F115" s="123">
        <v>28593.8</v>
      </c>
      <c r="G115" s="123">
        <f>29785.3-F115</f>
        <v>1191.5</v>
      </c>
      <c r="H115" s="123">
        <v>0</v>
      </c>
      <c r="I115" s="123">
        <v>0</v>
      </c>
      <c r="J115" s="123">
        <v>50784.2</v>
      </c>
      <c r="K115" s="123">
        <f>52900.3-J115</f>
        <v>2116.1000000000058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23">
        <v>0</v>
      </c>
      <c r="R115" s="82">
        <v>2022</v>
      </c>
      <c r="S115" s="82">
        <v>2024</v>
      </c>
      <c r="T115" s="82" t="s">
        <v>77</v>
      </c>
      <c r="U115" s="82" t="s">
        <v>77</v>
      </c>
      <c r="V115" s="82" t="s">
        <v>77</v>
      </c>
      <c r="W115" s="82" t="s">
        <v>77</v>
      </c>
      <c r="X115" s="82" t="s">
        <v>77</v>
      </c>
      <c r="Y115" s="82" t="s">
        <v>77</v>
      </c>
      <c r="Z115" s="120" t="s">
        <v>77</v>
      </c>
      <c r="AA115" s="203" t="s">
        <v>616</v>
      </c>
      <c r="AB115" s="219" t="s">
        <v>617</v>
      </c>
      <c r="AC115" s="218" t="s">
        <v>618</v>
      </c>
    </row>
    <row r="116" spans="1:29" s="38" customFormat="1" ht="165.75" customHeight="1" outlineLevel="2" x14ac:dyDescent="0.25">
      <c r="A116" s="90" t="s">
        <v>285</v>
      </c>
      <c r="B116" s="121" t="s">
        <v>167</v>
      </c>
      <c r="C116" s="203" t="s">
        <v>4</v>
      </c>
      <c r="D116" s="203" t="s">
        <v>591</v>
      </c>
      <c r="E116" s="203" t="s">
        <v>591</v>
      </c>
      <c r="F116" s="123">
        <v>219841.7</v>
      </c>
      <c r="G116" s="123">
        <f>229001.8-F116</f>
        <v>9160.0999999999767</v>
      </c>
      <c r="H116" s="123">
        <v>0</v>
      </c>
      <c r="I116" s="123">
        <v>0</v>
      </c>
      <c r="J116" s="123">
        <v>109440</v>
      </c>
      <c r="K116" s="123">
        <f>114000-J116</f>
        <v>4560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82">
        <v>2022</v>
      </c>
      <c r="S116" s="82">
        <v>2024</v>
      </c>
      <c r="T116" s="82" t="s">
        <v>77</v>
      </c>
      <c r="U116" s="82" t="s">
        <v>77</v>
      </c>
      <c r="V116" s="82" t="s">
        <v>77</v>
      </c>
      <c r="W116" s="82" t="s">
        <v>77</v>
      </c>
      <c r="X116" s="82" t="s">
        <v>77</v>
      </c>
      <c r="Y116" s="82" t="s">
        <v>77</v>
      </c>
      <c r="Z116" s="82" t="s">
        <v>77</v>
      </c>
      <c r="AA116" s="203" t="s">
        <v>619</v>
      </c>
      <c r="AB116" s="219"/>
      <c r="AC116" s="218"/>
    </row>
    <row r="117" spans="1:29" s="38" customFormat="1" ht="135" customHeight="1" outlineLevel="2" x14ac:dyDescent="0.25">
      <c r="A117" s="90" t="s">
        <v>286</v>
      </c>
      <c r="B117" s="121" t="s">
        <v>165</v>
      </c>
      <c r="C117" s="203" t="s">
        <v>4</v>
      </c>
      <c r="D117" s="203" t="s">
        <v>591</v>
      </c>
      <c r="E117" s="203" t="s">
        <v>591</v>
      </c>
      <c r="F117" s="123">
        <v>0</v>
      </c>
      <c r="G117" s="123">
        <v>0</v>
      </c>
      <c r="H117" s="123">
        <v>0</v>
      </c>
      <c r="I117" s="123">
        <v>0</v>
      </c>
      <c r="J117" s="123">
        <v>40529</v>
      </c>
      <c r="K117" s="123">
        <f>42217.8-J117</f>
        <v>1688.8000000000029</v>
      </c>
      <c r="L117" s="123">
        <v>0</v>
      </c>
      <c r="M117" s="123">
        <v>0</v>
      </c>
      <c r="N117" s="123">
        <v>0</v>
      </c>
      <c r="O117" s="123">
        <v>0</v>
      </c>
      <c r="P117" s="123">
        <v>0</v>
      </c>
      <c r="Q117" s="123">
        <v>0</v>
      </c>
      <c r="R117" s="82">
        <v>2024</v>
      </c>
      <c r="S117" s="82">
        <v>2024</v>
      </c>
      <c r="T117" s="82" t="s">
        <v>77</v>
      </c>
      <c r="U117" s="82" t="s">
        <v>77</v>
      </c>
      <c r="V117" s="82" t="s">
        <v>77</v>
      </c>
      <c r="W117" s="82" t="s">
        <v>77</v>
      </c>
      <c r="X117" s="82" t="s">
        <v>77</v>
      </c>
      <c r="Y117" s="82" t="s">
        <v>77</v>
      </c>
      <c r="Z117" s="120" t="s">
        <v>77</v>
      </c>
      <c r="AA117" s="203" t="s">
        <v>620</v>
      </c>
      <c r="AB117" s="219"/>
      <c r="AC117" s="218"/>
    </row>
    <row r="118" spans="1:29" s="38" customFormat="1" ht="99" customHeight="1" outlineLevel="2" x14ac:dyDescent="0.25">
      <c r="A118" s="90" t="s">
        <v>287</v>
      </c>
      <c r="B118" s="121" t="s">
        <v>166</v>
      </c>
      <c r="C118" s="203" t="s">
        <v>4</v>
      </c>
      <c r="D118" s="203" t="s">
        <v>591</v>
      </c>
      <c r="E118" s="203" t="s">
        <v>591</v>
      </c>
      <c r="F118" s="123">
        <v>56250</v>
      </c>
      <c r="G118" s="123">
        <f>75000-F118</f>
        <v>18750</v>
      </c>
      <c r="H118" s="123">
        <v>0</v>
      </c>
      <c r="I118" s="123">
        <v>0</v>
      </c>
      <c r="J118" s="123">
        <v>42000</v>
      </c>
      <c r="K118" s="123">
        <f>56000-J118</f>
        <v>14000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82">
        <v>2022</v>
      </c>
      <c r="S118" s="82">
        <v>2024</v>
      </c>
      <c r="T118" s="82" t="s">
        <v>77</v>
      </c>
      <c r="U118" s="82" t="s">
        <v>77</v>
      </c>
      <c r="V118" s="82" t="s">
        <v>77</v>
      </c>
      <c r="W118" s="82" t="s">
        <v>77</v>
      </c>
      <c r="X118" s="82" t="s">
        <v>77</v>
      </c>
      <c r="Y118" s="82" t="s">
        <v>77</v>
      </c>
      <c r="Z118" s="82" t="s">
        <v>77</v>
      </c>
      <c r="AA118" s="203" t="s">
        <v>621</v>
      </c>
      <c r="AB118" s="203" t="s">
        <v>622</v>
      </c>
      <c r="AC118" s="82" t="s">
        <v>623</v>
      </c>
    </row>
    <row r="119" spans="1:29" s="19" customFormat="1" ht="68.25" customHeight="1" x14ac:dyDescent="0.25">
      <c r="A119" s="2" t="s">
        <v>8</v>
      </c>
      <c r="B119" s="4" t="s">
        <v>259</v>
      </c>
      <c r="C119" s="2" t="s">
        <v>15</v>
      </c>
      <c r="D119" s="2" t="s">
        <v>15</v>
      </c>
      <c r="E119" s="2" t="s">
        <v>15</v>
      </c>
      <c r="F119" s="8">
        <f>F120</f>
        <v>9764.4</v>
      </c>
      <c r="G119" s="8">
        <f t="shared" ref="G119:Q119" si="41">G120</f>
        <v>100812.90000000001</v>
      </c>
      <c r="H119" s="8">
        <f t="shared" si="41"/>
        <v>8475.9269199999999</v>
      </c>
      <c r="I119" s="8">
        <f t="shared" si="41"/>
        <v>0</v>
      </c>
      <c r="J119" s="8">
        <f t="shared" si="41"/>
        <v>11031.8</v>
      </c>
      <c r="K119" s="8">
        <f t="shared" si="41"/>
        <v>100812.9</v>
      </c>
      <c r="L119" s="8">
        <f t="shared" si="41"/>
        <v>9566.9490000000005</v>
      </c>
      <c r="M119" s="8">
        <f t="shared" si="41"/>
        <v>0</v>
      </c>
      <c r="N119" s="8">
        <f t="shared" si="41"/>
        <v>0</v>
      </c>
      <c r="O119" s="8">
        <f t="shared" si="41"/>
        <v>0</v>
      </c>
      <c r="P119" s="8">
        <f t="shared" si="41"/>
        <v>0</v>
      </c>
      <c r="Q119" s="8">
        <f t="shared" si="41"/>
        <v>0</v>
      </c>
      <c r="R119" s="2" t="s">
        <v>15</v>
      </c>
      <c r="S119" s="2" t="s">
        <v>15</v>
      </c>
      <c r="T119" s="2" t="s">
        <v>15</v>
      </c>
      <c r="U119" s="2" t="s">
        <v>15</v>
      </c>
      <c r="V119" s="2" t="s">
        <v>15</v>
      </c>
      <c r="W119" s="2" t="s">
        <v>15</v>
      </c>
      <c r="X119" s="2" t="s">
        <v>15</v>
      </c>
      <c r="Y119" s="2" t="s">
        <v>15</v>
      </c>
      <c r="Z119" s="2" t="s">
        <v>15</v>
      </c>
      <c r="AA119" s="2" t="s">
        <v>15</v>
      </c>
      <c r="AB119" s="2" t="s">
        <v>15</v>
      </c>
      <c r="AC119" s="2" t="s">
        <v>15</v>
      </c>
    </row>
    <row r="120" spans="1:29" s="38" customFormat="1" ht="94.5" outlineLevel="2" x14ac:dyDescent="0.25">
      <c r="A120" s="90" t="s">
        <v>48</v>
      </c>
      <c r="B120" s="121" t="s">
        <v>168</v>
      </c>
      <c r="C120" s="203" t="s">
        <v>4</v>
      </c>
      <c r="D120" s="203" t="s">
        <v>591</v>
      </c>
      <c r="E120" s="203" t="s">
        <v>591</v>
      </c>
      <c r="F120" s="123">
        <v>9764.4</v>
      </c>
      <c r="G120" s="123">
        <f>110577.3-F120</f>
        <v>100812.90000000001</v>
      </c>
      <c r="H120" s="123">
        <v>8475.9269199999999</v>
      </c>
      <c r="I120" s="123">
        <v>0</v>
      </c>
      <c r="J120" s="123">
        <v>11031.8</v>
      </c>
      <c r="K120" s="123">
        <f>111844.7-J120</f>
        <v>100812.9</v>
      </c>
      <c r="L120" s="123">
        <v>9566.9490000000005</v>
      </c>
      <c r="M120" s="123">
        <v>0</v>
      </c>
      <c r="N120" s="123">
        <v>0</v>
      </c>
      <c r="O120" s="123">
        <v>0</v>
      </c>
      <c r="P120" s="123">
        <v>0</v>
      </c>
      <c r="Q120" s="123">
        <v>0</v>
      </c>
      <c r="R120" s="82">
        <v>2022</v>
      </c>
      <c r="S120" s="82">
        <v>2024</v>
      </c>
      <c r="T120" s="82" t="s">
        <v>77</v>
      </c>
      <c r="U120" s="82" t="s">
        <v>77</v>
      </c>
      <c r="V120" s="82" t="s">
        <v>77</v>
      </c>
      <c r="W120" s="82" t="s">
        <v>77</v>
      </c>
      <c r="X120" s="82" t="s">
        <v>77</v>
      </c>
      <c r="Y120" s="82" t="s">
        <v>77</v>
      </c>
      <c r="Z120" s="82" t="s">
        <v>77</v>
      </c>
      <c r="AA120" s="203" t="s">
        <v>624</v>
      </c>
      <c r="AB120" s="203" t="s">
        <v>169</v>
      </c>
      <c r="AC120" s="203" t="s">
        <v>625</v>
      </c>
    </row>
    <row r="121" spans="1:29" s="19" customFormat="1" ht="68.25" customHeight="1" x14ac:dyDescent="0.25">
      <c r="A121" s="2" t="s">
        <v>42</v>
      </c>
      <c r="B121" s="4" t="s">
        <v>260</v>
      </c>
      <c r="C121" s="2" t="s">
        <v>15</v>
      </c>
      <c r="D121" s="2" t="s">
        <v>15</v>
      </c>
      <c r="E121" s="2" t="s">
        <v>15</v>
      </c>
      <c r="F121" s="8">
        <f>F122+F123</f>
        <v>90126.6</v>
      </c>
      <c r="G121" s="8">
        <f t="shared" ref="G121:Q121" si="42">G122+G123</f>
        <v>3755.3000000000029</v>
      </c>
      <c r="H121" s="8">
        <f t="shared" si="42"/>
        <v>0</v>
      </c>
      <c r="I121" s="8">
        <f t="shared" si="42"/>
        <v>0</v>
      </c>
      <c r="J121" s="8">
        <f t="shared" si="42"/>
        <v>456920.2</v>
      </c>
      <c r="K121" s="8">
        <f t="shared" si="42"/>
        <v>19038.399999999991</v>
      </c>
      <c r="L121" s="8">
        <f t="shared" si="42"/>
        <v>0</v>
      </c>
      <c r="M121" s="8">
        <f t="shared" si="42"/>
        <v>0</v>
      </c>
      <c r="N121" s="8">
        <f t="shared" si="42"/>
        <v>0</v>
      </c>
      <c r="O121" s="8">
        <f t="shared" si="42"/>
        <v>0</v>
      </c>
      <c r="P121" s="8">
        <f t="shared" si="42"/>
        <v>0</v>
      </c>
      <c r="Q121" s="8">
        <f t="shared" si="42"/>
        <v>0</v>
      </c>
      <c r="R121" s="2" t="s">
        <v>15</v>
      </c>
      <c r="S121" s="2" t="s">
        <v>15</v>
      </c>
      <c r="T121" s="2" t="s">
        <v>15</v>
      </c>
      <c r="U121" s="2" t="s">
        <v>15</v>
      </c>
      <c r="V121" s="2" t="s">
        <v>15</v>
      </c>
      <c r="W121" s="2" t="s">
        <v>15</v>
      </c>
      <c r="X121" s="2" t="s">
        <v>15</v>
      </c>
      <c r="Y121" s="2" t="s">
        <v>15</v>
      </c>
      <c r="Z121" s="2" t="s">
        <v>15</v>
      </c>
      <c r="AA121" s="2" t="s">
        <v>15</v>
      </c>
      <c r="AB121" s="2" t="s">
        <v>15</v>
      </c>
      <c r="AC121" s="2" t="s">
        <v>15</v>
      </c>
    </row>
    <row r="122" spans="1:29" s="38" customFormat="1" ht="189" outlineLevel="2" x14ac:dyDescent="0.25">
      <c r="A122" s="90" t="s">
        <v>50</v>
      </c>
      <c r="B122" s="121" t="s">
        <v>170</v>
      </c>
      <c r="C122" s="203" t="s">
        <v>4</v>
      </c>
      <c r="D122" s="203" t="s">
        <v>591</v>
      </c>
      <c r="E122" s="203" t="s">
        <v>591</v>
      </c>
      <c r="F122" s="123">
        <v>70615.199999999997</v>
      </c>
      <c r="G122" s="123">
        <f>73557.5-F122</f>
        <v>2942.3000000000029</v>
      </c>
      <c r="H122" s="123">
        <v>0</v>
      </c>
      <c r="I122" s="123">
        <v>0</v>
      </c>
      <c r="J122" s="123">
        <v>436758.9</v>
      </c>
      <c r="K122" s="123">
        <f>454957.2-J122</f>
        <v>18198.299999999988</v>
      </c>
      <c r="L122" s="123">
        <v>0</v>
      </c>
      <c r="M122" s="123">
        <v>0</v>
      </c>
      <c r="N122" s="123">
        <v>0</v>
      </c>
      <c r="O122" s="123">
        <v>0</v>
      </c>
      <c r="P122" s="123">
        <v>0</v>
      </c>
      <c r="Q122" s="123">
        <v>0</v>
      </c>
      <c r="R122" s="82">
        <v>2022</v>
      </c>
      <c r="S122" s="82">
        <v>2024</v>
      </c>
      <c r="T122" s="82" t="s">
        <v>77</v>
      </c>
      <c r="U122" s="82" t="s">
        <v>77</v>
      </c>
      <c r="V122" s="82" t="s">
        <v>77</v>
      </c>
      <c r="W122" s="82" t="s">
        <v>77</v>
      </c>
      <c r="X122" s="82" t="s">
        <v>77</v>
      </c>
      <c r="Y122" s="82" t="s">
        <v>77</v>
      </c>
      <c r="Z122" s="82" t="s">
        <v>77</v>
      </c>
      <c r="AA122" s="203" t="s">
        <v>626</v>
      </c>
      <c r="AB122" s="219" t="s">
        <v>622</v>
      </c>
      <c r="AC122" s="218" t="s">
        <v>627</v>
      </c>
    </row>
    <row r="123" spans="1:29" s="38" customFormat="1" ht="267.75" outlineLevel="2" x14ac:dyDescent="0.25">
      <c r="A123" s="90" t="s">
        <v>73</v>
      </c>
      <c r="B123" s="121" t="s">
        <v>171</v>
      </c>
      <c r="C123" s="203" t="s">
        <v>4</v>
      </c>
      <c r="D123" s="203" t="s">
        <v>591</v>
      </c>
      <c r="E123" s="203" t="s">
        <v>591</v>
      </c>
      <c r="F123" s="123">
        <v>19511.400000000001</v>
      </c>
      <c r="G123" s="123">
        <f>20324.4-F123</f>
        <v>813</v>
      </c>
      <c r="H123" s="123">
        <v>0</v>
      </c>
      <c r="I123" s="123">
        <v>0</v>
      </c>
      <c r="J123" s="123">
        <v>20161.3</v>
      </c>
      <c r="K123" s="123">
        <f>21001.4-J123</f>
        <v>840.10000000000218</v>
      </c>
      <c r="L123" s="123"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82">
        <v>2022</v>
      </c>
      <c r="S123" s="82">
        <v>2024</v>
      </c>
      <c r="T123" s="82" t="s">
        <v>77</v>
      </c>
      <c r="U123" s="82" t="s">
        <v>77</v>
      </c>
      <c r="V123" s="82" t="s">
        <v>77</v>
      </c>
      <c r="W123" s="82" t="s">
        <v>77</v>
      </c>
      <c r="X123" s="82" t="s">
        <v>77</v>
      </c>
      <c r="Y123" s="82" t="s">
        <v>77</v>
      </c>
      <c r="Z123" s="82" t="s">
        <v>77</v>
      </c>
      <c r="AA123" s="122" t="s">
        <v>628</v>
      </c>
      <c r="AB123" s="219"/>
      <c r="AC123" s="218"/>
    </row>
    <row r="124" spans="1:29" s="19" customFormat="1" ht="94.5" customHeight="1" x14ac:dyDescent="0.25">
      <c r="A124" s="2" t="s">
        <v>60</v>
      </c>
      <c r="B124" s="4" t="s">
        <v>261</v>
      </c>
      <c r="C124" s="2" t="s">
        <v>15</v>
      </c>
      <c r="D124" s="2" t="s">
        <v>15</v>
      </c>
      <c r="E124" s="2" t="s">
        <v>15</v>
      </c>
      <c r="F124" s="8">
        <f>F125</f>
        <v>65643.899999999994</v>
      </c>
      <c r="G124" s="8">
        <f t="shared" ref="G124:Q124" si="43">G125</f>
        <v>2735.2000000000116</v>
      </c>
      <c r="H124" s="8">
        <f t="shared" si="43"/>
        <v>0</v>
      </c>
      <c r="I124" s="8">
        <f t="shared" si="43"/>
        <v>0</v>
      </c>
      <c r="J124" s="8">
        <f t="shared" si="43"/>
        <v>76210.899999999994</v>
      </c>
      <c r="K124" s="8">
        <f t="shared" si="43"/>
        <v>3175.5</v>
      </c>
      <c r="L124" s="8">
        <f t="shared" si="43"/>
        <v>0</v>
      </c>
      <c r="M124" s="8">
        <f t="shared" si="43"/>
        <v>0</v>
      </c>
      <c r="N124" s="8">
        <f t="shared" si="43"/>
        <v>201600</v>
      </c>
      <c r="O124" s="8">
        <f t="shared" si="43"/>
        <v>8400</v>
      </c>
      <c r="P124" s="8">
        <f t="shared" si="43"/>
        <v>0</v>
      </c>
      <c r="Q124" s="8">
        <f t="shared" si="43"/>
        <v>20000</v>
      </c>
      <c r="R124" s="2" t="s">
        <v>15</v>
      </c>
      <c r="S124" s="2" t="s">
        <v>15</v>
      </c>
      <c r="T124" s="2" t="s">
        <v>15</v>
      </c>
      <c r="U124" s="2" t="s">
        <v>15</v>
      </c>
      <c r="V124" s="2" t="s">
        <v>15</v>
      </c>
      <c r="W124" s="2" t="s">
        <v>15</v>
      </c>
      <c r="X124" s="2" t="s">
        <v>15</v>
      </c>
      <c r="Y124" s="2" t="s">
        <v>15</v>
      </c>
      <c r="Z124" s="2" t="s">
        <v>15</v>
      </c>
      <c r="AA124" s="2" t="s">
        <v>15</v>
      </c>
      <c r="AB124" s="2" t="s">
        <v>15</v>
      </c>
      <c r="AC124" s="2" t="s">
        <v>15</v>
      </c>
    </row>
    <row r="125" spans="1:29" s="3" customFormat="1" ht="152.25" customHeight="1" outlineLevel="2" x14ac:dyDescent="0.25">
      <c r="A125" s="167" t="s">
        <v>51</v>
      </c>
      <c r="B125" s="169" t="s">
        <v>172</v>
      </c>
      <c r="C125" s="205" t="s">
        <v>4</v>
      </c>
      <c r="D125" s="205" t="s">
        <v>591</v>
      </c>
      <c r="E125" s="205" t="s">
        <v>591</v>
      </c>
      <c r="F125" s="144">
        <v>65643.899999999994</v>
      </c>
      <c r="G125" s="144">
        <f>68379.1-F125</f>
        <v>2735.2000000000116</v>
      </c>
      <c r="H125" s="144">
        <v>0</v>
      </c>
      <c r="I125" s="144">
        <v>0</v>
      </c>
      <c r="J125" s="144">
        <v>76210.899999999994</v>
      </c>
      <c r="K125" s="144">
        <f>79386.4-J125</f>
        <v>3175.5</v>
      </c>
      <c r="L125" s="144">
        <v>0</v>
      </c>
      <c r="M125" s="144">
        <v>0</v>
      </c>
      <c r="N125" s="144">
        <v>201600</v>
      </c>
      <c r="O125" s="144">
        <v>8400</v>
      </c>
      <c r="P125" s="144">
        <v>0</v>
      </c>
      <c r="Q125" s="144">
        <v>20000</v>
      </c>
      <c r="R125" s="208" t="s">
        <v>77</v>
      </c>
      <c r="S125" s="208" t="s">
        <v>77</v>
      </c>
      <c r="T125" s="208" t="s">
        <v>77</v>
      </c>
      <c r="U125" s="208" t="s">
        <v>77</v>
      </c>
      <c r="V125" s="208" t="s">
        <v>77</v>
      </c>
      <c r="W125" s="208" t="s">
        <v>77</v>
      </c>
      <c r="X125" s="208" t="s">
        <v>77</v>
      </c>
      <c r="Y125" s="208" t="s">
        <v>77</v>
      </c>
      <c r="Z125" s="208" t="s">
        <v>77</v>
      </c>
      <c r="AA125" s="205" t="s">
        <v>1160</v>
      </c>
      <c r="AB125" s="208" t="s">
        <v>77</v>
      </c>
      <c r="AC125" s="208" t="s">
        <v>1078</v>
      </c>
    </row>
    <row r="126" spans="1:29" s="19" customFormat="1" ht="68.25" customHeight="1" x14ac:dyDescent="0.25">
      <c r="A126" s="2" t="s">
        <v>63</v>
      </c>
      <c r="B126" s="4" t="s">
        <v>262</v>
      </c>
      <c r="C126" s="2" t="s">
        <v>15</v>
      </c>
      <c r="D126" s="2" t="s">
        <v>15</v>
      </c>
      <c r="E126" s="2" t="s">
        <v>15</v>
      </c>
      <c r="F126" s="8">
        <f>F127</f>
        <v>10033.79485</v>
      </c>
      <c r="G126" s="8">
        <f t="shared" ref="G126:Q126" si="44">G127</f>
        <v>418.1</v>
      </c>
      <c r="H126" s="8">
        <f t="shared" si="44"/>
        <v>0</v>
      </c>
      <c r="I126" s="8">
        <f t="shared" si="44"/>
        <v>0</v>
      </c>
      <c r="J126" s="8">
        <f t="shared" si="44"/>
        <v>0</v>
      </c>
      <c r="K126" s="8">
        <f t="shared" si="44"/>
        <v>0</v>
      </c>
      <c r="L126" s="8">
        <f t="shared" si="44"/>
        <v>0</v>
      </c>
      <c r="M126" s="8">
        <f t="shared" si="44"/>
        <v>0</v>
      </c>
      <c r="N126" s="8">
        <f t="shared" si="44"/>
        <v>0</v>
      </c>
      <c r="O126" s="8">
        <f t="shared" si="44"/>
        <v>0</v>
      </c>
      <c r="P126" s="8">
        <f t="shared" si="44"/>
        <v>0</v>
      </c>
      <c r="Q126" s="8">
        <f t="shared" si="44"/>
        <v>0</v>
      </c>
      <c r="R126" s="2" t="s">
        <v>15</v>
      </c>
      <c r="S126" s="2" t="s">
        <v>15</v>
      </c>
      <c r="T126" s="2" t="s">
        <v>15</v>
      </c>
      <c r="U126" s="2" t="s">
        <v>15</v>
      </c>
      <c r="V126" s="2" t="s">
        <v>15</v>
      </c>
      <c r="W126" s="2" t="s">
        <v>15</v>
      </c>
      <c r="X126" s="2" t="s">
        <v>15</v>
      </c>
      <c r="Y126" s="2" t="s">
        <v>15</v>
      </c>
      <c r="Z126" s="2" t="s">
        <v>15</v>
      </c>
      <c r="AA126" s="2" t="s">
        <v>15</v>
      </c>
      <c r="AB126" s="2" t="s">
        <v>15</v>
      </c>
      <c r="AC126" s="2" t="s">
        <v>15</v>
      </c>
    </row>
    <row r="127" spans="1:29" s="195" customFormat="1" ht="84.75" customHeight="1" x14ac:dyDescent="0.25">
      <c r="A127" s="208" t="s">
        <v>52</v>
      </c>
      <c r="B127" s="173" t="s">
        <v>109</v>
      </c>
      <c r="C127" s="208" t="s">
        <v>4</v>
      </c>
      <c r="D127" s="143" t="s">
        <v>345</v>
      </c>
      <c r="E127" s="143" t="s">
        <v>345</v>
      </c>
      <c r="F127" s="140">
        <v>10033.79485</v>
      </c>
      <c r="G127" s="144">
        <v>418.1</v>
      </c>
      <c r="H127" s="144">
        <v>0</v>
      </c>
      <c r="I127" s="144">
        <v>0</v>
      </c>
      <c r="J127" s="144">
        <v>0</v>
      </c>
      <c r="K127" s="144">
        <v>0</v>
      </c>
      <c r="L127" s="144">
        <v>0</v>
      </c>
      <c r="M127" s="144">
        <v>0</v>
      </c>
      <c r="N127" s="144">
        <v>0</v>
      </c>
      <c r="O127" s="144">
        <v>0</v>
      </c>
      <c r="P127" s="144">
        <v>0</v>
      </c>
      <c r="Q127" s="144">
        <v>0</v>
      </c>
      <c r="R127" s="208" t="s">
        <v>15</v>
      </c>
      <c r="S127" s="208" t="s">
        <v>15</v>
      </c>
      <c r="T127" s="208" t="s">
        <v>15</v>
      </c>
      <c r="U127" s="208" t="s">
        <v>15</v>
      </c>
      <c r="V127" s="208" t="s">
        <v>15</v>
      </c>
      <c r="W127" s="208" t="s">
        <v>15</v>
      </c>
      <c r="X127" s="208" t="s">
        <v>15</v>
      </c>
      <c r="Y127" s="208" t="s">
        <v>15</v>
      </c>
      <c r="Z127" s="208" t="s">
        <v>15</v>
      </c>
      <c r="AA127" s="208" t="s">
        <v>538</v>
      </c>
      <c r="AB127" s="205" t="s">
        <v>346</v>
      </c>
      <c r="AC127" s="208" t="s">
        <v>77</v>
      </c>
    </row>
    <row r="128" spans="1:29" s="22" customFormat="1" ht="51" customHeight="1" x14ac:dyDescent="0.25">
      <c r="A128" s="41" t="s">
        <v>64</v>
      </c>
      <c r="B128" s="4" t="s">
        <v>288</v>
      </c>
      <c r="C128" s="2" t="s">
        <v>15</v>
      </c>
      <c r="D128" s="2" t="s">
        <v>15</v>
      </c>
      <c r="E128" s="2" t="s">
        <v>15</v>
      </c>
      <c r="F128" s="8">
        <f>F129</f>
        <v>300000</v>
      </c>
      <c r="G128" s="8">
        <f t="shared" ref="G128:Q128" si="45">G129</f>
        <v>12500.7</v>
      </c>
      <c r="H128" s="8">
        <f t="shared" si="45"/>
        <v>0</v>
      </c>
      <c r="I128" s="8">
        <f t="shared" si="45"/>
        <v>88700</v>
      </c>
      <c r="J128" s="8">
        <f t="shared" si="45"/>
        <v>0</v>
      </c>
      <c r="K128" s="8">
        <f t="shared" si="45"/>
        <v>0</v>
      </c>
      <c r="L128" s="8">
        <f t="shared" si="45"/>
        <v>0</v>
      </c>
      <c r="M128" s="8">
        <f t="shared" si="45"/>
        <v>0</v>
      </c>
      <c r="N128" s="8">
        <f t="shared" si="45"/>
        <v>0</v>
      </c>
      <c r="O128" s="8">
        <f t="shared" si="45"/>
        <v>0</v>
      </c>
      <c r="P128" s="8">
        <f t="shared" si="45"/>
        <v>0</v>
      </c>
      <c r="Q128" s="8">
        <f t="shared" si="45"/>
        <v>0</v>
      </c>
      <c r="R128" s="2" t="s">
        <v>15</v>
      </c>
      <c r="S128" s="2" t="s">
        <v>15</v>
      </c>
      <c r="T128" s="2" t="s">
        <v>15</v>
      </c>
      <c r="U128" s="2" t="s">
        <v>15</v>
      </c>
      <c r="V128" s="2" t="s">
        <v>15</v>
      </c>
      <c r="W128" s="2" t="s">
        <v>15</v>
      </c>
      <c r="X128" s="2" t="s">
        <v>15</v>
      </c>
      <c r="Y128" s="2" t="s">
        <v>15</v>
      </c>
      <c r="Z128" s="2" t="s">
        <v>15</v>
      </c>
      <c r="AA128" s="2" t="s">
        <v>15</v>
      </c>
      <c r="AB128" s="2" t="s">
        <v>15</v>
      </c>
      <c r="AC128" s="2" t="s">
        <v>15</v>
      </c>
    </row>
    <row r="129" spans="1:29" s="21" customFormat="1" ht="109.5" customHeight="1" x14ac:dyDescent="0.25">
      <c r="A129" s="193" t="s">
        <v>65</v>
      </c>
      <c r="B129" s="172" t="s">
        <v>1154</v>
      </c>
      <c r="C129" s="205" t="s">
        <v>1076</v>
      </c>
      <c r="D129" s="205" t="s">
        <v>591</v>
      </c>
      <c r="E129" s="205" t="s">
        <v>591</v>
      </c>
      <c r="F129" s="144">
        <f>SUM(F130:F132)</f>
        <v>300000</v>
      </c>
      <c r="G129" s="144">
        <f t="shared" ref="G129:Q129" si="46">SUM(G130:G132)</f>
        <v>12500.7</v>
      </c>
      <c r="H129" s="144">
        <f t="shared" si="46"/>
        <v>0</v>
      </c>
      <c r="I129" s="144">
        <f t="shared" si="46"/>
        <v>88700</v>
      </c>
      <c r="J129" s="144">
        <f t="shared" si="46"/>
        <v>0</v>
      </c>
      <c r="K129" s="144">
        <f t="shared" si="46"/>
        <v>0</v>
      </c>
      <c r="L129" s="144">
        <f t="shared" si="46"/>
        <v>0</v>
      </c>
      <c r="M129" s="144">
        <f t="shared" si="46"/>
        <v>0</v>
      </c>
      <c r="N129" s="144">
        <f t="shared" si="46"/>
        <v>0</v>
      </c>
      <c r="O129" s="144">
        <f t="shared" si="46"/>
        <v>0</v>
      </c>
      <c r="P129" s="144">
        <f t="shared" si="46"/>
        <v>0</v>
      </c>
      <c r="Q129" s="144">
        <f t="shared" si="46"/>
        <v>0</v>
      </c>
      <c r="R129" s="208" t="s">
        <v>15</v>
      </c>
      <c r="S129" s="208" t="s">
        <v>15</v>
      </c>
      <c r="T129" s="208" t="s">
        <v>15</v>
      </c>
      <c r="U129" s="208" t="s">
        <v>15</v>
      </c>
      <c r="V129" s="208" t="s">
        <v>15</v>
      </c>
      <c r="W129" s="208" t="s">
        <v>15</v>
      </c>
      <c r="X129" s="208" t="s">
        <v>15</v>
      </c>
      <c r="Y129" s="208" t="s">
        <v>15</v>
      </c>
      <c r="Z129" s="208" t="s">
        <v>15</v>
      </c>
      <c r="AA129" s="208" t="s">
        <v>15</v>
      </c>
      <c r="AB129" s="208" t="s">
        <v>15</v>
      </c>
      <c r="AC129" s="208" t="s">
        <v>15</v>
      </c>
    </row>
    <row r="130" spans="1:29" s="3" customFormat="1" ht="129" customHeight="1" outlineLevel="2" x14ac:dyDescent="0.25">
      <c r="A130" s="193" t="s">
        <v>1155</v>
      </c>
      <c r="B130" s="179" t="s">
        <v>1136</v>
      </c>
      <c r="C130" s="205" t="s">
        <v>1076</v>
      </c>
      <c r="D130" s="205" t="s">
        <v>591</v>
      </c>
      <c r="E130" s="205" t="s">
        <v>591</v>
      </c>
      <c r="F130" s="144">
        <v>100000</v>
      </c>
      <c r="G130" s="144">
        <v>4166.7</v>
      </c>
      <c r="H130" s="144">
        <v>0</v>
      </c>
      <c r="I130" s="144">
        <v>41000</v>
      </c>
      <c r="J130" s="144">
        <v>0</v>
      </c>
      <c r="K130" s="144">
        <v>0</v>
      </c>
      <c r="L130" s="144">
        <v>0</v>
      </c>
      <c r="M130" s="144">
        <v>0</v>
      </c>
      <c r="N130" s="144">
        <v>0</v>
      </c>
      <c r="O130" s="144">
        <v>0</v>
      </c>
      <c r="P130" s="144">
        <v>0</v>
      </c>
      <c r="Q130" s="144">
        <v>0</v>
      </c>
      <c r="R130" s="208" t="s">
        <v>15</v>
      </c>
      <c r="S130" s="208" t="s">
        <v>15</v>
      </c>
      <c r="T130" s="208" t="s">
        <v>15</v>
      </c>
      <c r="U130" s="208" t="s">
        <v>15</v>
      </c>
      <c r="V130" s="208" t="s">
        <v>15</v>
      </c>
      <c r="W130" s="208" t="s">
        <v>15</v>
      </c>
      <c r="X130" s="208" t="s">
        <v>15</v>
      </c>
      <c r="Y130" s="208" t="s">
        <v>15</v>
      </c>
      <c r="Z130" s="208" t="s">
        <v>15</v>
      </c>
      <c r="AA130" s="205" t="s">
        <v>1133</v>
      </c>
      <c r="AB130" s="205" t="s">
        <v>1044</v>
      </c>
      <c r="AC130" s="205" t="s">
        <v>455</v>
      </c>
    </row>
    <row r="131" spans="1:29" s="3" customFormat="1" ht="123.75" customHeight="1" outlineLevel="2" x14ac:dyDescent="0.25">
      <c r="A131" s="193" t="s">
        <v>1156</v>
      </c>
      <c r="B131" s="179" t="s">
        <v>1135</v>
      </c>
      <c r="C131" s="205" t="s">
        <v>1076</v>
      </c>
      <c r="D131" s="205" t="s">
        <v>591</v>
      </c>
      <c r="E131" s="205" t="s">
        <v>591</v>
      </c>
      <c r="F131" s="144">
        <v>100000</v>
      </c>
      <c r="G131" s="144">
        <v>4167</v>
      </c>
      <c r="H131" s="144">
        <v>0</v>
      </c>
      <c r="I131" s="144">
        <v>15000</v>
      </c>
      <c r="J131" s="144">
        <v>0</v>
      </c>
      <c r="K131" s="144">
        <v>0</v>
      </c>
      <c r="L131" s="144">
        <v>0</v>
      </c>
      <c r="M131" s="144">
        <v>0</v>
      </c>
      <c r="N131" s="144">
        <v>0</v>
      </c>
      <c r="O131" s="144">
        <v>0</v>
      </c>
      <c r="P131" s="144">
        <v>0</v>
      </c>
      <c r="Q131" s="144">
        <v>0</v>
      </c>
      <c r="R131" s="208" t="s">
        <v>15</v>
      </c>
      <c r="S131" s="208" t="s">
        <v>15</v>
      </c>
      <c r="T131" s="208" t="s">
        <v>15</v>
      </c>
      <c r="U131" s="208" t="s">
        <v>15</v>
      </c>
      <c r="V131" s="208" t="s">
        <v>15</v>
      </c>
      <c r="W131" s="208" t="s">
        <v>15</v>
      </c>
      <c r="X131" s="208" t="s">
        <v>15</v>
      </c>
      <c r="Y131" s="208" t="s">
        <v>15</v>
      </c>
      <c r="Z131" s="208" t="s">
        <v>15</v>
      </c>
      <c r="AA131" s="205" t="s">
        <v>1152</v>
      </c>
      <c r="AB131" s="205" t="s">
        <v>1044</v>
      </c>
      <c r="AC131" s="205" t="s">
        <v>455</v>
      </c>
    </row>
    <row r="132" spans="1:29" s="3" customFormat="1" ht="121.5" customHeight="1" outlineLevel="2" x14ac:dyDescent="0.25">
      <c r="A132" s="193" t="s">
        <v>1157</v>
      </c>
      <c r="B132" s="179" t="s">
        <v>1134</v>
      </c>
      <c r="C132" s="205" t="s">
        <v>1076</v>
      </c>
      <c r="D132" s="205" t="s">
        <v>591</v>
      </c>
      <c r="E132" s="205" t="s">
        <v>591</v>
      </c>
      <c r="F132" s="144">
        <v>100000</v>
      </c>
      <c r="G132" s="144">
        <v>4167</v>
      </c>
      <c r="H132" s="144">
        <v>0</v>
      </c>
      <c r="I132" s="144">
        <v>32700</v>
      </c>
      <c r="J132" s="144">
        <v>0</v>
      </c>
      <c r="K132" s="144">
        <v>0</v>
      </c>
      <c r="L132" s="144">
        <v>0</v>
      </c>
      <c r="M132" s="144">
        <v>0</v>
      </c>
      <c r="N132" s="144">
        <v>0</v>
      </c>
      <c r="O132" s="144">
        <v>0</v>
      </c>
      <c r="P132" s="144">
        <v>0</v>
      </c>
      <c r="Q132" s="144">
        <v>0</v>
      </c>
      <c r="R132" s="208" t="s">
        <v>15</v>
      </c>
      <c r="S132" s="208" t="s">
        <v>15</v>
      </c>
      <c r="T132" s="208" t="s">
        <v>15</v>
      </c>
      <c r="U132" s="208" t="s">
        <v>15</v>
      </c>
      <c r="V132" s="208" t="s">
        <v>15</v>
      </c>
      <c r="W132" s="208" t="s">
        <v>15</v>
      </c>
      <c r="X132" s="208" t="s">
        <v>15</v>
      </c>
      <c r="Y132" s="208" t="s">
        <v>15</v>
      </c>
      <c r="Z132" s="208" t="s">
        <v>15</v>
      </c>
      <c r="AA132" s="205" t="s">
        <v>1153</v>
      </c>
      <c r="AB132" s="205" t="s">
        <v>1044</v>
      </c>
      <c r="AC132" s="205" t="s">
        <v>455</v>
      </c>
    </row>
    <row r="133" spans="1:29" s="60" customFormat="1" ht="42" customHeight="1" x14ac:dyDescent="0.25">
      <c r="A133" s="59" t="s">
        <v>203</v>
      </c>
      <c r="B133" s="55" t="s">
        <v>75</v>
      </c>
      <c r="C133" s="5" t="s">
        <v>15</v>
      </c>
      <c r="D133" s="5" t="s">
        <v>15</v>
      </c>
      <c r="E133" s="5" t="s">
        <v>15</v>
      </c>
      <c r="F133" s="12">
        <f>F134</f>
        <v>151018.1</v>
      </c>
      <c r="G133" s="12">
        <f t="shared" ref="G133:Q133" si="47">G134</f>
        <v>6292.5</v>
      </c>
      <c r="H133" s="12">
        <f t="shared" si="47"/>
        <v>622.29999999999995</v>
      </c>
      <c r="I133" s="12">
        <f t="shared" si="47"/>
        <v>0</v>
      </c>
      <c r="J133" s="12">
        <f t="shared" si="47"/>
        <v>0</v>
      </c>
      <c r="K133" s="12">
        <f t="shared" si="47"/>
        <v>0</v>
      </c>
      <c r="L133" s="12">
        <f t="shared" si="47"/>
        <v>0</v>
      </c>
      <c r="M133" s="12">
        <f t="shared" si="47"/>
        <v>0</v>
      </c>
      <c r="N133" s="12">
        <f t="shared" si="47"/>
        <v>0</v>
      </c>
      <c r="O133" s="12">
        <f t="shared" si="47"/>
        <v>0</v>
      </c>
      <c r="P133" s="12">
        <f t="shared" si="47"/>
        <v>0</v>
      </c>
      <c r="Q133" s="12">
        <f t="shared" si="47"/>
        <v>0</v>
      </c>
      <c r="R133" s="5" t="s">
        <v>15</v>
      </c>
      <c r="S133" s="5" t="s">
        <v>15</v>
      </c>
      <c r="T133" s="5" t="s">
        <v>15</v>
      </c>
      <c r="U133" s="5" t="s">
        <v>15</v>
      </c>
      <c r="V133" s="5" t="s">
        <v>15</v>
      </c>
      <c r="W133" s="5" t="s">
        <v>15</v>
      </c>
      <c r="X133" s="5" t="s">
        <v>15</v>
      </c>
      <c r="Y133" s="5" t="s">
        <v>15</v>
      </c>
      <c r="Z133" s="5" t="s">
        <v>15</v>
      </c>
      <c r="AA133" s="5" t="s">
        <v>15</v>
      </c>
      <c r="AB133" s="5" t="s">
        <v>15</v>
      </c>
      <c r="AC133" s="5" t="s">
        <v>15</v>
      </c>
    </row>
    <row r="134" spans="1:29" s="19" customFormat="1" ht="54" customHeight="1" x14ac:dyDescent="0.25">
      <c r="A134" s="2" t="s">
        <v>1</v>
      </c>
      <c r="B134" s="4" t="s">
        <v>263</v>
      </c>
      <c r="C134" s="9" t="s">
        <v>15</v>
      </c>
      <c r="D134" s="9" t="s">
        <v>15</v>
      </c>
      <c r="E134" s="9" t="s">
        <v>15</v>
      </c>
      <c r="F134" s="8">
        <f>F135</f>
        <v>151018.1</v>
      </c>
      <c r="G134" s="8">
        <f t="shared" ref="G134:Q135" si="48">G135</f>
        <v>6292.5</v>
      </c>
      <c r="H134" s="8">
        <f t="shared" si="48"/>
        <v>622.29999999999995</v>
      </c>
      <c r="I134" s="8">
        <f t="shared" si="48"/>
        <v>0</v>
      </c>
      <c r="J134" s="8">
        <f t="shared" si="48"/>
        <v>0</v>
      </c>
      <c r="K134" s="8">
        <f t="shared" si="48"/>
        <v>0</v>
      </c>
      <c r="L134" s="8">
        <f t="shared" si="48"/>
        <v>0</v>
      </c>
      <c r="M134" s="8">
        <f t="shared" si="48"/>
        <v>0</v>
      </c>
      <c r="N134" s="8">
        <f t="shared" si="48"/>
        <v>0</v>
      </c>
      <c r="O134" s="8">
        <f t="shared" si="48"/>
        <v>0</v>
      </c>
      <c r="P134" s="8">
        <f t="shared" si="48"/>
        <v>0</v>
      </c>
      <c r="Q134" s="8">
        <f t="shared" si="48"/>
        <v>0</v>
      </c>
      <c r="R134" s="9" t="s">
        <v>15</v>
      </c>
      <c r="S134" s="9" t="s">
        <v>15</v>
      </c>
      <c r="T134" s="9" t="s">
        <v>15</v>
      </c>
      <c r="U134" s="9" t="s">
        <v>15</v>
      </c>
      <c r="V134" s="9" t="s">
        <v>15</v>
      </c>
      <c r="W134" s="9" t="s">
        <v>15</v>
      </c>
      <c r="X134" s="9" t="s">
        <v>15</v>
      </c>
      <c r="Y134" s="9" t="s">
        <v>15</v>
      </c>
      <c r="Z134" s="9" t="s">
        <v>15</v>
      </c>
      <c r="AA134" s="9" t="s">
        <v>15</v>
      </c>
      <c r="AB134" s="9" t="s">
        <v>15</v>
      </c>
      <c r="AC134" s="9" t="s">
        <v>15</v>
      </c>
    </row>
    <row r="135" spans="1:29" s="3" customFormat="1" ht="85.5" customHeight="1" outlineLevel="2" x14ac:dyDescent="0.25">
      <c r="A135" s="167" t="s">
        <v>78</v>
      </c>
      <c r="B135" s="169" t="s">
        <v>173</v>
      </c>
      <c r="C135" s="205" t="s">
        <v>4</v>
      </c>
      <c r="D135" s="220" t="s">
        <v>591</v>
      </c>
      <c r="E135" s="220" t="s">
        <v>377</v>
      </c>
      <c r="F135" s="144">
        <f>F136</f>
        <v>151018.1</v>
      </c>
      <c r="G135" s="144">
        <f t="shared" si="48"/>
        <v>6292.5</v>
      </c>
      <c r="H135" s="144">
        <f t="shared" si="48"/>
        <v>622.29999999999995</v>
      </c>
      <c r="I135" s="144">
        <f t="shared" si="48"/>
        <v>0</v>
      </c>
      <c r="J135" s="144">
        <f t="shared" si="48"/>
        <v>0</v>
      </c>
      <c r="K135" s="144">
        <f t="shared" si="48"/>
        <v>0</v>
      </c>
      <c r="L135" s="144">
        <f t="shared" si="48"/>
        <v>0</v>
      </c>
      <c r="M135" s="144">
        <f t="shared" si="48"/>
        <v>0</v>
      </c>
      <c r="N135" s="144">
        <f t="shared" si="48"/>
        <v>0</v>
      </c>
      <c r="O135" s="144">
        <f t="shared" si="48"/>
        <v>0</v>
      </c>
      <c r="P135" s="144">
        <f t="shared" si="48"/>
        <v>0</v>
      </c>
      <c r="Q135" s="144">
        <f t="shared" si="48"/>
        <v>0</v>
      </c>
      <c r="R135" s="208" t="s">
        <v>15</v>
      </c>
      <c r="S135" s="208" t="s">
        <v>15</v>
      </c>
      <c r="T135" s="208" t="s">
        <v>15</v>
      </c>
      <c r="U135" s="208" t="s">
        <v>15</v>
      </c>
      <c r="V135" s="208" t="s">
        <v>15</v>
      </c>
      <c r="W135" s="208" t="s">
        <v>15</v>
      </c>
      <c r="X135" s="208" t="s">
        <v>15</v>
      </c>
      <c r="Y135" s="208" t="s">
        <v>15</v>
      </c>
      <c r="Z135" s="208" t="s">
        <v>15</v>
      </c>
      <c r="AA135" s="220" t="s">
        <v>630</v>
      </c>
      <c r="AB135" s="220" t="s">
        <v>706</v>
      </c>
      <c r="AC135" s="220" t="s">
        <v>631</v>
      </c>
    </row>
    <row r="136" spans="1:29" s="3" customFormat="1" ht="42.75" customHeight="1" outlineLevel="2" x14ac:dyDescent="0.25">
      <c r="A136" s="167" t="s">
        <v>300</v>
      </c>
      <c r="B136" s="200" t="s">
        <v>629</v>
      </c>
      <c r="C136" s="205" t="s">
        <v>4</v>
      </c>
      <c r="D136" s="220"/>
      <c r="E136" s="220"/>
      <c r="F136" s="144">
        <v>151018.1</v>
      </c>
      <c r="G136" s="144">
        <f>157310.6-F136</f>
        <v>6292.5</v>
      </c>
      <c r="H136" s="144">
        <v>622.29999999999995</v>
      </c>
      <c r="I136" s="144">
        <v>0</v>
      </c>
      <c r="J136" s="144">
        <v>0</v>
      </c>
      <c r="K136" s="144">
        <v>0</v>
      </c>
      <c r="L136" s="144">
        <v>0</v>
      </c>
      <c r="M136" s="144">
        <v>0</v>
      </c>
      <c r="N136" s="144">
        <v>0</v>
      </c>
      <c r="O136" s="144">
        <v>0</v>
      </c>
      <c r="P136" s="144">
        <v>0</v>
      </c>
      <c r="Q136" s="144">
        <v>0</v>
      </c>
      <c r="R136" s="208">
        <v>2022</v>
      </c>
      <c r="S136" s="208">
        <v>2023</v>
      </c>
      <c r="T136" s="208" t="s">
        <v>590</v>
      </c>
      <c r="U136" s="208" t="s">
        <v>105</v>
      </c>
      <c r="V136" s="208" t="s">
        <v>15</v>
      </c>
      <c r="W136" s="208" t="s">
        <v>15</v>
      </c>
      <c r="X136" s="208" t="s">
        <v>15</v>
      </c>
      <c r="Y136" s="208">
        <v>2023</v>
      </c>
      <c r="Z136" s="208" t="s">
        <v>15</v>
      </c>
      <c r="AA136" s="220"/>
      <c r="AB136" s="220"/>
      <c r="AC136" s="220"/>
    </row>
    <row r="137" spans="1:29" s="19" customFormat="1" ht="66.75" customHeight="1" x14ac:dyDescent="0.25">
      <c r="A137" s="2" t="s">
        <v>5</v>
      </c>
      <c r="B137" s="4" t="s">
        <v>174</v>
      </c>
      <c r="C137" s="2" t="s">
        <v>15</v>
      </c>
      <c r="D137" s="2" t="s">
        <v>15</v>
      </c>
      <c r="E137" s="2" t="s">
        <v>15</v>
      </c>
      <c r="F137" s="8">
        <f>F138+F141</f>
        <v>1237344.2775000001</v>
      </c>
      <c r="G137" s="8">
        <f t="shared" ref="G137:Q137" si="49">G138+G141</f>
        <v>412448.29249999992</v>
      </c>
      <c r="H137" s="8">
        <f t="shared" si="49"/>
        <v>62985.67968999999</v>
      </c>
      <c r="I137" s="8">
        <f t="shared" si="49"/>
        <v>0</v>
      </c>
      <c r="J137" s="8">
        <f t="shared" si="49"/>
        <v>0</v>
      </c>
      <c r="K137" s="8">
        <f t="shared" si="49"/>
        <v>0</v>
      </c>
      <c r="L137" s="8">
        <f t="shared" si="49"/>
        <v>0</v>
      </c>
      <c r="M137" s="8">
        <f t="shared" si="49"/>
        <v>0</v>
      </c>
      <c r="N137" s="8">
        <f t="shared" si="49"/>
        <v>0</v>
      </c>
      <c r="O137" s="8">
        <f t="shared" si="49"/>
        <v>0</v>
      </c>
      <c r="P137" s="8">
        <f t="shared" si="49"/>
        <v>0</v>
      </c>
      <c r="Q137" s="8">
        <f t="shared" si="49"/>
        <v>0</v>
      </c>
      <c r="R137" s="2" t="s">
        <v>15</v>
      </c>
      <c r="S137" s="2" t="s">
        <v>15</v>
      </c>
      <c r="T137" s="2" t="s">
        <v>15</v>
      </c>
      <c r="U137" s="2" t="s">
        <v>15</v>
      </c>
      <c r="V137" s="2" t="s">
        <v>15</v>
      </c>
      <c r="W137" s="2" t="s">
        <v>15</v>
      </c>
      <c r="X137" s="2" t="s">
        <v>15</v>
      </c>
      <c r="Y137" s="2" t="s">
        <v>15</v>
      </c>
      <c r="Z137" s="2" t="s">
        <v>15</v>
      </c>
      <c r="AA137" s="2" t="s">
        <v>15</v>
      </c>
      <c r="AB137" s="2" t="s">
        <v>15</v>
      </c>
      <c r="AC137" s="2" t="s">
        <v>15</v>
      </c>
    </row>
    <row r="138" spans="1:29" s="3" customFormat="1" ht="172.5" customHeight="1" outlineLevel="1" x14ac:dyDescent="0.25">
      <c r="A138" s="119" t="s">
        <v>48</v>
      </c>
      <c r="B138" s="87" t="s">
        <v>151</v>
      </c>
      <c r="C138" s="219" t="s">
        <v>113</v>
      </c>
      <c r="D138" s="219" t="s">
        <v>591</v>
      </c>
      <c r="E138" s="219" t="s">
        <v>377</v>
      </c>
      <c r="F138" s="206">
        <f>F139+F140</f>
        <v>103418.2</v>
      </c>
      <c r="G138" s="206">
        <f t="shared" ref="G138:Q138" si="50">G139+G140</f>
        <v>34472.800000000003</v>
      </c>
      <c r="H138" s="206">
        <f t="shared" si="50"/>
        <v>0</v>
      </c>
      <c r="I138" s="206">
        <f t="shared" si="50"/>
        <v>0</v>
      </c>
      <c r="J138" s="206">
        <f t="shared" si="50"/>
        <v>0</v>
      </c>
      <c r="K138" s="206">
        <f t="shared" si="50"/>
        <v>0</v>
      </c>
      <c r="L138" s="206">
        <f t="shared" si="50"/>
        <v>0</v>
      </c>
      <c r="M138" s="206">
        <f t="shared" si="50"/>
        <v>0</v>
      </c>
      <c r="N138" s="206">
        <f t="shared" si="50"/>
        <v>0</v>
      </c>
      <c r="O138" s="206">
        <f t="shared" si="50"/>
        <v>0</v>
      </c>
      <c r="P138" s="206">
        <f t="shared" si="50"/>
        <v>0</v>
      </c>
      <c r="Q138" s="206">
        <f t="shared" si="50"/>
        <v>0</v>
      </c>
      <c r="R138" s="82">
        <v>2021</v>
      </c>
      <c r="S138" s="82">
        <v>2023</v>
      </c>
      <c r="T138" s="82" t="s">
        <v>77</v>
      </c>
      <c r="U138" s="82" t="s">
        <v>77</v>
      </c>
      <c r="V138" s="82" t="s">
        <v>77</v>
      </c>
      <c r="W138" s="82" t="s">
        <v>77</v>
      </c>
      <c r="X138" s="82" t="s">
        <v>77</v>
      </c>
      <c r="Y138" s="82" t="s">
        <v>77</v>
      </c>
      <c r="Z138" s="82" t="s">
        <v>77</v>
      </c>
      <c r="AA138" s="219" t="s">
        <v>679</v>
      </c>
      <c r="AB138" s="219" t="s">
        <v>706</v>
      </c>
      <c r="AC138" s="219" t="s">
        <v>680</v>
      </c>
    </row>
    <row r="139" spans="1:29" s="3" customFormat="1" ht="47.25" outlineLevel="1" x14ac:dyDescent="0.25">
      <c r="A139" s="90" t="s">
        <v>289</v>
      </c>
      <c r="B139" s="162" t="s">
        <v>675</v>
      </c>
      <c r="C139" s="219"/>
      <c r="D139" s="219"/>
      <c r="E139" s="219"/>
      <c r="F139" s="206">
        <v>51709.1</v>
      </c>
      <c r="G139" s="206">
        <f>68945.5-F139</f>
        <v>17236.400000000001</v>
      </c>
      <c r="H139" s="206">
        <v>0</v>
      </c>
      <c r="I139" s="206">
        <v>0</v>
      </c>
      <c r="J139" s="206">
        <v>0</v>
      </c>
      <c r="K139" s="206">
        <v>0</v>
      </c>
      <c r="L139" s="206">
        <v>0</v>
      </c>
      <c r="M139" s="206">
        <v>0</v>
      </c>
      <c r="N139" s="206">
        <v>0</v>
      </c>
      <c r="O139" s="206">
        <v>0</v>
      </c>
      <c r="P139" s="206">
        <v>0</v>
      </c>
      <c r="Q139" s="206">
        <v>0</v>
      </c>
      <c r="R139" s="82">
        <v>2021</v>
      </c>
      <c r="S139" s="82">
        <v>2023</v>
      </c>
      <c r="T139" s="82" t="s">
        <v>598</v>
      </c>
      <c r="U139" s="82" t="s">
        <v>105</v>
      </c>
      <c r="V139" s="82" t="s">
        <v>11</v>
      </c>
      <c r="W139" s="82" t="s">
        <v>677</v>
      </c>
      <c r="X139" s="82" t="s">
        <v>11</v>
      </c>
      <c r="Y139" s="82">
        <v>2023</v>
      </c>
      <c r="Z139" s="206">
        <v>205985.49</v>
      </c>
      <c r="AA139" s="219"/>
      <c r="AB139" s="219"/>
      <c r="AC139" s="219"/>
    </row>
    <row r="140" spans="1:29" s="3" customFormat="1" ht="47.25" outlineLevel="1" x14ac:dyDescent="0.25">
      <c r="A140" s="90" t="s">
        <v>294</v>
      </c>
      <c r="B140" s="162" t="s">
        <v>676</v>
      </c>
      <c r="C140" s="219"/>
      <c r="D140" s="219"/>
      <c r="E140" s="219"/>
      <c r="F140" s="206">
        <v>51709.1</v>
      </c>
      <c r="G140" s="206">
        <f>68945.5-F140</f>
        <v>17236.400000000001</v>
      </c>
      <c r="H140" s="206">
        <v>0</v>
      </c>
      <c r="I140" s="206">
        <v>0</v>
      </c>
      <c r="J140" s="206">
        <v>0</v>
      </c>
      <c r="K140" s="206">
        <v>0</v>
      </c>
      <c r="L140" s="206">
        <v>0</v>
      </c>
      <c r="M140" s="206">
        <v>0</v>
      </c>
      <c r="N140" s="206">
        <v>0</v>
      </c>
      <c r="O140" s="206">
        <v>0</v>
      </c>
      <c r="P140" s="206">
        <v>0</v>
      </c>
      <c r="Q140" s="206">
        <v>0</v>
      </c>
      <c r="R140" s="82">
        <v>2021</v>
      </c>
      <c r="S140" s="82">
        <v>2023</v>
      </c>
      <c r="T140" s="82" t="s">
        <v>598</v>
      </c>
      <c r="U140" s="82" t="s">
        <v>105</v>
      </c>
      <c r="V140" s="82" t="s">
        <v>11</v>
      </c>
      <c r="W140" s="82" t="s">
        <v>678</v>
      </c>
      <c r="X140" s="82" t="s">
        <v>11</v>
      </c>
      <c r="Y140" s="82">
        <v>2023</v>
      </c>
      <c r="Z140" s="206">
        <v>461065.72</v>
      </c>
      <c r="AA140" s="219"/>
      <c r="AB140" s="219"/>
      <c r="AC140" s="219"/>
    </row>
    <row r="141" spans="1:29" s="3" customFormat="1" ht="63" outlineLevel="1" x14ac:dyDescent="0.25">
      <c r="A141" s="119" t="s">
        <v>49</v>
      </c>
      <c r="B141" s="87" t="s">
        <v>652</v>
      </c>
      <c r="C141" s="219" t="s">
        <v>4</v>
      </c>
      <c r="D141" s="219" t="s">
        <v>591</v>
      </c>
      <c r="E141" s="219" t="s">
        <v>591</v>
      </c>
      <c r="F141" s="206">
        <f>SUM(F142:F185)</f>
        <v>1133926.0775000001</v>
      </c>
      <c r="G141" s="206">
        <f t="shared" ref="G141:Q141" si="51">SUM(G142:G185)</f>
        <v>377975.49249999993</v>
      </c>
      <c r="H141" s="206">
        <f t="shared" si="51"/>
        <v>62985.67968999999</v>
      </c>
      <c r="I141" s="206">
        <f t="shared" si="51"/>
        <v>0</v>
      </c>
      <c r="J141" s="206">
        <f t="shared" si="51"/>
        <v>0</v>
      </c>
      <c r="K141" s="206">
        <f t="shared" si="51"/>
        <v>0</v>
      </c>
      <c r="L141" s="206">
        <f t="shared" si="51"/>
        <v>0</v>
      </c>
      <c r="M141" s="206">
        <f t="shared" si="51"/>
        <v>0</v>
      </c>
      <c r="N141" s="206">
        <f t="shared" si="51"/>
        <v>0</v>
      </c>
      <c r="O141" s="206">
        <f t="shared" si="51"/>
        <v>0</v>
      </c>
      <c r="P141" s="206">
        <f t="shared" si="51"/>
        <v>0</v>
      </c>
      <c r="Q141" s="206">
        <f t="shared" si="51"/>
        <v>0</v>
      </c>
      <c r="R141" s="82">
        <v>2023</v>
      </c>
      <c r="S141" s="82">
        <v>2023</v>
      </c>
      <c r="T141" s="82" t="s">
        <v>651</v>
      </c>
      <c r="U141" s="82" t="s">
        <v>105</v>
      </c>
      <c r="V141" s="82" t="s">
        <v>105</v>
      </c>
      <c r="W141" s="82" t="s">
        <v>651</v>
      </c>
      <c r="X141" s="82" t="s">
        <v>77</v>
      </c>
      <c r="Y141" s="82">
        <v>2023</v>
      </c>
      <c r="Z141" s="120" t="s">
        <v>77</v>
      </c>
      <c r="AA141" s="219" t="s">
        <v>654</v>
      </c>
      <c r="AB141" s="219" t="s">
        <v>707</v>
      </c>
      <c r="AC141" s="219" t="s">
        <v>653</v>
      </c>
    </row>
    <row r="142" spans="1:29" s="131" customFormat="1" ht="47.25" x14ac:dyDescent="0.25">
      <c r="A142" s="90" t="s">
        <v>655</v>
      </c>
      <c r="B142" s="162" t="s">
        <v>632</v>
      </c>
      <c r="C142" s="219"/>
      <c r="D142" s="219"/>
      <c r="E142" s="219"/>
      <c r="F142" s="206">
        <v>21460.5</v>
      </c>
      <c r="G142" s="206">
        <v>7153.5</v>
      </c>
      <c r="H142" s="206">
        <v>2829.9560900000001</v>
      </c>
      <c r="I142" s="206">
        <v>0</v>
      </c>
      <c r="J142" s="206">
        <v>0</v>
      </c>
      <c r="K142" s="206">
        <v>0</v>
      </c>
      <c r="L142" s="206">
        <v>0</v>
      </c>
      <c r="M142" s="206">
        <v>0</v>
      </c>
      <c r="N142" s="206">
        <v>0</v>
      </c>
      <c r="O142" s="206">
        <v>0</v>
      </c>
      <c r="P142" s="206">
        <v>0</v>
      </c>
      <c r="Q142" s="206">
        <v>0</v>
      </c>
      <c r="R142" s="82">
        <v>2022</v>
      </c>
      <c r="S142" s="82">
        <v>2023</v>
      </c>
      <c r="T142" s="82" t="s">
        <v>598</v>
      </c>
      <c r="U142" s="82" t="s">
        <v>105</v>
      </c>
      <c r="V142" s="82" t="s">
        <v>77</v>
      </c>
      <c r="W142" s="82" t="s">
        <v>792</v>
      </c>
      <c r="X142" s="82" t="s">
        <v>77</v>
      </c>
      <c r="Y142" s="82">
        <v>2023</v>
      </c>
      <c r="Z142" s="144">
        <v>133114.26999999999</v>
      </c>
      <c r="AA142" s="219"/>
      <c r="AB142" s="219"/>
      <c r="AC142" s="219"/>
    </row>
    <row r="143" spans="1:29" s="131" customFormat="1" ht="47.25" x14ac:dyDescent="0.25">
      <c r="A143" s="90" t="s">
        <v>656</v>
      </c>
      <c r="B143" s="162" t="s">
        <v>633</v>
      </c>
      <c r="C143" s="219"/>
      <c r="D143" s="219"/>
      <c r="E143" s="219"/>
      <c r="F143" s="206">
        <v>19854.5</v>
      </c>
      <c r="G143" s="206">
        <v>6618.2</v>
      </c>
      <c r="H143" s="206">
        <v>1393.3</v>
      </c>
      <c r="I143" s="206">
        <v>0</v>
      </c>
      <c r="J143" s="206">
        <v>0</v>
      </c>
      <c r="K143" s="206">
        <v>0</v>
      </c>
      <c r="L143" s="206">
        <v>0</v>
      </c>
      <c r="M143" s="206">
        <v>0</v>
      </c>
      <c r="N143" s="206">
        <v>0</v>
      </c>
      <c r="O143" s="206">
        <v>0</v>
      </c>
      <c r="P143" s="206">
        <v>0</v>
      </c>
      <c r="Q143" s="206">
        <v>0</v>
      </c>
      <c r="R143" s="82">
        <v>2022</v>
      </c>
      <c r="S143" s="82">
        <v>2023</v>
      </c>
      <c r="T143" s="82" t="s">
        <v>598</v>
      </c>
      <c r="U143" s="82" t="s">
        <v>105</v>
      </c>
      <c r="V143" s="82" t="s">
        <v>77</v>
      </c>
      <c r="W143" s="82" t="s">
        <v>793</v>
      </c>
      <c r="X143" s="82" t="s">
        <v>77</v>
      </c>
      <c r="Y143" s="82">
        <v>2023</v>
      </c>
      <c r="Z143" s="144">
        <v>167037.1</v>
      </c>
      <c r="AA143" s="219"/>
      <c r="AB143" s="219"/>
      <c r="AC143" s="219"/>
    </row>
    <row r="144" spans="1:29" s="131" customFormat="1" ht="47.25" x14ac:dyDescent="0.25">
      <c r="A144" s="90" t="s">
        <v>657</v>
      </c>
      <c r="B144" s="162" t="s">
        <v>634</v>
      </c>
      <c r="C144" s="219"/>
      <c r="D144" s="219"/>
      <c r="E144" s="219"/>
      <c r="F144" s="206">
        <v>13542.4</v>
      </c>
      <c r="G144" s="206">
        <v>4514.2</v>
      </c>
      <c r="H144" s="206">
        <v>1359.0989999999999</v>
      </c>
      <c r="I144" s="206">
        <v>0</v>
      </c>
      <c r="J144" s="206">
        <v>0</v>
      </c>
      <c r="K144" s="206">
        <v>0</v>
      </c>
      <c r="L144" s="206">
        <v>0</v>
      </c>
      <c r="M144" s="206">
        <v>0</v>
      </c>
      <c r="N144" s="206">
        <v>0</v>
      </c>
      <c r="O144" s="206">
        <v>0</v>
      </c>
      <c r="P144" s="206">
        <v>0</v>
      </c>
      <c r="Q144" s="206">
        <v>0</v>
      </c>
      <c r="R144" s="82">
        <v>2022</v>
      </c>
      <c r="S144" s="82">
        <v>2023</v>
      </c>
      <c r="T144" s="82" t="s">
        <v>598</v>
      </c>
      <c r="U144" s="82" t="s">
        <v>105</v>
      </c>
      <c r="V144" s="82" t="s">
        <v>77</v>
      </c>
      <c r="W144" s="82" t="s">
        <v>794</v>
      </c>
      <c r="X144" s="82" t="s">
        <v>77</v>
      </c>
      <c r="Y144" s="82">
        <v>2023</v>
      </c>
      <c r="Z144" s="144">
        <v>65325.58</v>
      </c>
      <c r="AA144" s="219"/>
      <c r="AB144" s="219"/>
      <c r="AC144" s="219"/>
    </row>
    <row r="145" spans="1:29" s="131" customFormat="1" ht="47.25" x14ac:dyDescent="0.25">
      <c r="A145" s="90" t="s">
        <v>658</v>
      </c>
      <c r="B145" s="162" t="s">
        <v>635</v>
      </c>
      <c r="C145" s="219"/>
      <c r="D145" s="219"/>
      <c r="E145" s="219"/>
      <c r="F145" s="206">
        <v>12792.5</v>
      </c>
      <c r="G145" s="206">
        <v>4264.2</v>
      </c>
      <c r="H145" s="206">
        <v>1895.1890000000001</v>
      </c>
      <c r="I145" s="206">
        <v>0</v>
      </c>
      <c r="J145" s="206">
        <v>0</v>
      </c>
      <c r="K145" s="206">
        <v>0</v>
      </c>
      <c r="L145" s="206">
        <v>0</v>
      </c>
      <c r="M145" s="206">
        <v>0</v>
      </c>
      <c r="N145" s="206">
        <v>0</v>
      </c>
      <c r="O145" s="206">
        <v>0</v>
      </c>
      <c r="P145" s="206">
        <v>0</v>
      </c>
      <c r="Q145" s="206">
        <v>0</v>
      </c>
      <c r="R145" s="82">
        <v>2022</v>
      </c>
      <c r="S145" s="82">
        <v>2023</v>
      </c>
      <c r="T145" s="82" t="s">
        <v>598</v>
      </c>
      <c r="U145" s="82" t="s">
        <v>105</v>
      </c>
      <c r="V145" s="82" t="s">
        <v>77</v>
      </c>
      <c r="W145" s="82" t="s">
        <v>795</v>
      </c>
      <c r="X145" s="82" t="s">
        <v>77</v>
      </c>
      <c r="Y145" s="82">
        <v>2023</v>
      </c>
      <c r="Z145" s="144">
        <v>121099.24</v>
      </c>
      <c r="AA145" s="219"/>
      <c r="AB145" s="219"/>
      <c r="AC145" s="219"/>
    </row>
    <row r="146" spans="1:29" s="131" customFormat="1" ht="47.25" x14ac:dyDescent="0.25">
      <c r="A146" s="90" t="s">
        <v>659</v>
      </c>
      <c r="B146" s="162" t="s">
        <v>636</v>
      </c>
      <c r="C146" s="219"/>
      <c r="D146" s="219"/>
      <c r="E146" s="219"/>
      <c r="F146" s="206">
        <v>14987.2</v>
      </c>
      <c r="G146" s="206">
        <v>4995.8</v>
      </c>
      <c r="H146" s="206">
        <v>1275.511</v>
      </c>
      <c r="I146" s="206">
        <v>0</v>
      </c>
      <c r="J146" s="206">
        <v>0</v>
      </c>
      <c r="K146" s="206">
        <v>0</v>
      </c>
      <c r="L146" s="206">
        <v>0</v>
      </c>
      <c r="M146" s="206">
        <v>0</v>
      </c>
      <c r="N146" s="206">
        <v>0</v>
      </c>
      <c r="O146" s="206">
        <v>0</v>
      </c>
      <c r="P146" s="206">
        <v>0</v>
      </c>
      <c r="Q146" s="206">
        <v>0</v>
      </c>
      <c r="R146" s="82">
        <v>2022</v>
      </c>
      <c r="S146" s="82">
        <v>2023</v>
      </c>
      <c r="T146" s="82" t="s">
        <v>598</v>
      </c>
      <c r="U146" s="82" t="s">
        <v>105</v>
      </c>
      <c r="V146" s="82" t="s">
        <v>77</v>
      </c>
      <c r="W146" s="82" t="s">
        <v>796</v>
      </c>
      <c r="X146" s="82" t="s">
        <v>77</v>
      </c>
      <c r="Y146" s="82">
        <v>2023</v>
      </c>
      <c r="Z146" s="144">
        <v>97633.67</v>
      </c>
      <c r="AA146" s="219"/>
      <c r="AB146" s="219"/>
      <c r="AC146" s="219"/>
    </row>
    <row r="147" spans="1:29" s="131" customFormat="1" ht="47.25" x14ac:dyDescent="0.25">
      <c r="A147" s="90" t="s">
        <v>660</v>
      </c>
      <c r="B147" s="162" t="s">
        <v>637</v>
      </c>
      <c r="C147" s="219"/>
      <c r="D147" s="219"/>
      <c r="E147" s="219"/>
      <c r="F147" s="206">
        <v>17128.900000000001</v>
      </c>
      <c r="G147" s="206">
        <v>5709.6</v>
      </c>
      <c r="H147" s="206">
        <v>1719.027</v>
      </c>
      <c r="I147" s="206">
        <v>0</v>
      </c>
      <c r="J147" s="206">
        <v>0</v>
      </c>
      <c r="K147" s="206">
        <v>0</v>
      </c>
      <c r="L147" s="206">
        <v>0</v>
      </c>
      <c r="M147" s="206">
        <v>0</v>
      </c>
      <c r="N147" s="206">
        <v>0</v>
      </c>
      <c r="O147" s="206">
        <v>0</v>
      </c>
      <c r="P147" s="206">
        <v>0</v>
      </c>
      <c r="Q147" s="206">
        <v>0</v>
      </c>
      <c r="R147" s="82">
        <v>2022</v>
      </c>
      <c r="S147" s="82">
        <v>2023</v>
      </c>
      <c r="T147" s="82" t="s">
        <v>598</v>
      </c>
      <c r="U147" s="82" t="s">
        <v>105</v>
      </c>
      <c r="V147" s="82" t="s">
        <v>77</v>
      </c>
      <c r="W147" s="82" t="s">
        <v>797</v>
      </c>
      <c r="X147" s="82" t="s">
        <v>77</v>
      </c>
      <c r="Y147" s="82">
        <v>2023</v>
      </c>
      <c r="Z147" s="144">
        <v>77659.48</v>
      </c>
      <c r="AA147" s="219"/>
      <c r="AB147" s="219"/>
      <c r="AC147" s="219"/>
    </row>
    <row r="148" spans="1:29" s="131" customFormat="1" ht="47.25" x14ac:dyDescent="0.25">
      <c r="A148" s="90" t="s">
        <v>661</v>
      </c>
      <c r="B148" s="162" t="s">
        <v>638</v>
      </c>
      <c r="C148" s="219"/>
      <c r="D148" s="219"/>
      <c r="E148" s="219"/>
      <c r="F148" s="206">
        <v>15241.3</v>
      </c>
      <c r="G148" s="206">
        <v>5080.3999999999996</v>
      </c>
      <c r="H148" s="206">
        <v>2009.8389999999999</v>
      </c>
      <c r="I148" s="206">
        <v>0</v>
      </c>
      <c r="J148" s="206">
        <v>0</v>
      </c>
      <c r="K148" s="206">
        <v>0</v>
      </c>
      <c r="L148" s="206">
        <v>0</v>
      </c>
      <c r="M148" s="206">
        <v>0</v>
      </c>
      <c r="N148" s="206">
        <v>0</v>
      </c>
      <c r="O148" s="206">
        <v>0</v>
      </c>
      <c r="P148" s="206">
        <v>0</v>
      </c>
      <c r="Q148" s="206">
        <v>0</v>
      </c>
      <c r="R148" s="82">
        <v>2022</v>
      </c>
      <c r="S148" s="82">
        <v>2023</v>
      </c>
      <c r="T148" s="82" t="s">
        <v>598</v>
      </c>
      <c r="U148" s="82" t="s">
        <v>105</v>
      </c>
      <c r="V148" s="82" t="s">
        <v>77</v>
      </c>
      <c r="W148" s="82" t="s">
        <v>798</v>
      </c>
      <c r="X148" s="82" t="s">
        <v>77</v>
      </c>
      <c r="Y148" s="82">
        <v>2023</v>
      </c>
      <c r="Z148" s="144">
        <v>113708.29</v>
      </c>
      <c r="AA148" s="219"/>
      <c r="AB148" s="219"/>
      <c r="AC148" s="219"/>
    </row>
    <row r="149" spans="1:29" s="131" customFormat="1" ht="47.25" x14ac:dyDescent="0.25">
      <c r="A149" s="90" t="s">
        <v>662</v>
      </c>
      <c r="B149" s="162" t="s">
        <v>639</v>
      </c>
      <c r="C149" s="219"/>
      <c r="D149" s="219"/>
      <c r="E149" s="219"/>
      <c r="F149" s="206">
        <v>16860.8</v>
      </c>
      <c r="G149" s="206">
        <v>5620.3</v>
      </c>
      <c r="H149" s="206">
        <v>2223.4058</v>
      </c>
      <c r="I149" s="206">
        <v>0</v>
      </c>
      <c r="J149" s="206">
        <v>0</v>
      </c>
      <c r="K149" s="206">
        <v>0</v>
      </c>
      <c r="L149" s="206">
        <v>0</v>
      </c>
      <c r="M149" s="206">
        <v>0</v>
      </c>
      <c r="N149" s="206">
        <v>0</v>
      </c>
      <c r="O149" s="206">
        <v>0</v>
      </c>
      <c r="P149" s="206">
        <v>0</v>
      </c>
      <c r="Q149" s="206">
        <v>0</v>
      </c>
      <c r="R149" s="82">
        <v>2022</v>
      </c>
      <c r="S149" s="82">
        <v>2023</v>
      </c>
      <c r="T149" s="82" t="s">
        <v>598</v>
      </c>
      <c r="U149" s="82" t="s">
        <v>105</v>
      </c>
      <c r="V149" s="82" t="s">
        <v>77</v>
      </c>
      <c r="W149" s="82" t="s">
        <v>799</v>
      </c>
      <c r="X149" s="82" t="s">
        <v>77</v>
      </c>
      <c r="Y149" s="82">
        <v>2023</v>
      </c>
      <c r="Z149" s="144">
        <v>80989.64</v>
      </c>
      <c r="AA149" s="219"/>
      <c r="AB149" s="219"/>
      <c r="AC149" s="219"/>
    </row>
    <row r="150" spans="1:29" s="131" customFormat="1" ht="47.25" x14ac:dyDescent="0.25">
      <c r="A150" s="90" t="s">
        <v>663</v>
      </c>
      <c r="B150" s="162" t="s">
        <v>640</v>
      </c>
      <c r="C150" s="219"/>
      <c r="D150" s="219"/>
      <c r="E150" s="219"/>
      <c r="F150" s="206">
        <v>18295.400000000001</v>
      </c>
      <c r="G150" s="206">
        <v>6098.5</v>
      </c>
      <c r="H150" s="206">
        <v>4646.4571999999998</v>
      </c>
      <c r="I150" s="206">
        <v>0</v>
      </c>
      <c r="J150" s="206">
        <v>0</v>
      </c>
      <c r="K150" s="206">
        <v>0</v>
      </c>
      <c r="L150" s="206">
        <v>0</v>
      </c>
      <c r="M150" s="206">
        <v>0</v>
      </c>
      <c r="N150" s="206">
        <v>0</v>
      </c>
      <c r="O150" s="206">
        <v>0</v>
      </c>
      <c r="P150" s="206">
        <v>0</v>
      </c>
      <c r="Q150" s="206">
        <v>0</v>
      </c>
      <c r="R150" s="82">
        <v>2022</v>
      </c>
      <c r="S150" s="82">
        <v>2023</v>
      </c>
      <c r="T150" s="82" t="s">
        <v>598</v>
      </c>
      <c r="U150" s="82" t="s">
        <v>105</v>
      </c>
      <c r="V150" s="82" t="s">
        <v>77</v>
      </c>
      <c r="W150" s="82" t="s">
        <v>800</v>
      </c>
      <c r="X150" s="82" t="s">
        <v>77</v>
      </c>
      <c r="Y150" s="82">
        <v>2023</v>
      </c>
      <c r="Z150" s="144">
        <v>107604.05</v>
      </c>
      <c r="AA150" s="219"/>
      <c r="AB150" s="219"/>
      <c r="AC150" s="219"/>
    </row>
    <row r="151" spans="1:29" s="131" customFormat="1" ht="47.25" x14ac:dyDescent="0.25">
      <c r="A151" s="90" t="s">
        <v>664</v>
      </c>
      <c r="B151" s="162" t="s">
        <v>1172</v>
      </c>
      <c r="C151" s="219"/>
      <c r="D151" s="219"/>
      <c r="E151" s="219"/>
      <c r="F151" s="206">
        <v>18186.2</v>
      </c>
      <c r="G151" s="206">
        <v>6062.1</v>
      </c>
      <c r="H151" s="206">
        <v>2996.9810000000002</v>
      </c>
      <c r="I151" s="206">
        <v>0</v>
      </c>
      <c r="J151" s="206">
        <v>0</v>
      </c>
      <c r="K151" s="206">
        <v>0</v>
      </c>
      <c r="L151" s="206">
        <v>0</v>
      </c>
      <c r="M151" s="206">
        <v>0</v>
      </c>
      <c r="N151" s="206">
        <v>0</v>
      </c>
      <c r="O151" s="206">
        <v>0</v>
      </c>
      <c r="P151" s="206">
        <v>0</v>
      </c>
      <c r="Q151" s="206">
        <v>0</v>
      </c>
      <c r="R151" s="82">
        <v>2022</v>
      </c>
      <c r="S151" s="82">
        <v>2023</v>
      </c>
      <c r="T151" s="82" t="s">
        <v>598</v>
      </c>
      <c r="U151" s="82" t="s">
        <v>105</v>
      </c>
      <c r="V151" s="82" t="s">
        <v>77</v>
      </c>
      <c r="W151" s="82" t="s">
        <v>801</v>
      </c>
      <c r="X151" s="82" t="s">
        <v>77</v>
      </c>
      <c r="Y151" s="82">
        <v>2023</v>
      </c>
      <c r="Z151" s="144">
        <v>73173.63</v>
      </c>
      <c r="AA151" s="219"/>
      <c r="AB151" s="219"/>
      <c r="AC151" s="219"/>
    </row>
    <row r="152" spans="1:29" s="131" customFormat="1" ht="47.25" x14ac:dyDescent="0.25">
      <c r="A152" s="90" t="s">
        <v>665</v>
      </c>
      <c r="B152" s="162" t="s">
        <v>641</v>
      </c>
      <c r="C152" s="219"/>
      <c r="D152" s="219"/>
      <c r="E152" s="219"/>
      <c r="F152" s="206">
        <v>16881.3</v>
      </c>
      <c r="G152" s="206">
        <v>5627.1</v>
      </c>
      <c r="H152" s="206">
        <v>3069.328</v>
      </c>
      <c r="I152" s="206">
        <v>0</v>
      </c>
      <c r="J152" s="206">
        <v>0</v>
      </c>
      <c r="K152" s="206">
        <v>0</v>
      </c>
      <c r="L152" s="206">
        <v>0</v>
      </c>
      <c r="M152" s="206">
        <v>0</v>
      </c>
      <c r="N152" s="206">
        <v>0</v>
      </c>
      <c r="O152" s="206">
        <v>0</v>
      </c>
      <c r="P152" s="206">
        <v>0</v>
      </c>
      <c r="Q152" s="206">
        <v>0</v>
      </c>
      <c r="R152" s="82">
        <v>2022</v>
      </c>
      <c r="S152" s="82">
        <v>2023</v>
      </c>
      <c r="T152" s="82" t="s">
        <v>598</v>
      </c>
      <c r="U152" s="82" t="s">
        <v>105</v>
      </c>
      <c r="V152" s="82" t="s">
        <v>77</v>
      </c>
      <c r="W152" s="82" t="s">
        <v>802</v>
      </c>
      <c r="X152" s="82" t="s">
        <v>77</v>
      </c>
      <c r="Y152" s="82">
        <v>2023</v>
      </c>
      <c r="Z152" s="144">
        <v>57585.23</v>
      </c>
      <c r="AA152" s="219"/>
      <c r="AB152" s="219"/>
      <c r="AC152" s="219"/>
    </row>
    <row r="153" spans="1:29" s="131" customFormat="1" ht="47.25" x14ac:dyDescent="0.25">
      <c r="A153" s="90" t="s">
        <v>666</v>
      </c>
      <c r="B153" s="154" t="s">
        <v>642</v>
      </c>
      <c r="C153" s="219"/>
      <c r="D153" s="219"/>
      <c r="E153" s="219"/>
      <c r="F153" s="206">
        <f>24793.4+2330.3</f>
        <v>27123.7</v>
      </c>
      <c r="G153" s="206">
        <v>9041.2999999999993</v>
      </c>
      <c r="H153" s="206">
        <v>4018.3339999999998</v>
      </c>
      <c r="I153" s="206">
        <v>0</v>
      </c>
      <c r="J153" s="206">
        <v>0</v>
      </c>
      <c r="K153" s="206">
        <v>0</v>
      </c>
      <c r="L153" s="206">
        <v>0</v>
      </c>
      <c r="M153" s="206">
        <v>0</v>
      </c>
      <c r="N153" s="206">
        <v>0</v>
      </c>
      <c r="O153" s="206">
        <v>0</v>
      </c>
      <c r="P153" s="206">
        <v>0</v>
      </c>
      <c r="Q153" s="206">
        <v>0</v>
      </c>
      <c r="R153" s="82">
        <v>2022</v>
      </c>
      <c r="S153" s="82">
        <v>2023</v>
      </c>
      <c r="T153" s="82" t="s">
        <v>598</v>
      </c>
      <c r="U153" s="82" t="s">
        <v>105</v>
      </c>
      <c r="V153" s="82" t="s">
        <v>77</v>
      </c>
      <c r="W153" s="82" t="s">
        <v>803</v>
      </c>
      <c r="X153" s="82" t="s">
        <v>77</v>
      </c>
      <c r="Y153" s="82">
        <v>2023</v>
      </c>
      <c r="Z153" s="144">
        <v>140524.13</v>
      </c>
      <c r="AA153" s="219"/>
      <c r="AB153" s="219"/>
      <c r="AC153" s="219"/>
    </row>
    <row r="154" spans="1:29" s="131" customFormat="1" ht="78.75" x14ac:dyDescent="0.25">
      <c r="A154" s="90" t="s">
        <v>667</v>
      </c>
      <c r="B154" s="154" t="s">
        <v>643</v>
      </c>
      <c r="C154" s="219"/>
      <c r="D154" s="219"/>
      <c r="E154" s="219"/>
      <c r="F154" s="206">
        <v>24680.6</v>
      </c>
      <c r="G154" s="206">
        <v>8226.7999999999993</v>
      </c>
      <c r="H154" s="206">
        <v>2100.4724000000001</v>
      </c>
      <c r="I154" s="206">
        <v>0</v>
      </c>
      <c r="J154" s="206">
        <v>0</v>
      </c>
      <c r="K154" s="206">
        <v>0</v>
      </c>
      <c r="L154" s="206">
        <v>0</v>
      </c>
      <c r="M154" s="206">
        <v>0</v>
      </c>
      <c r="N154" s="206">
        <v>0</v>
      </c>
      <c r="O154" s="206">
        <v>0</v>
      </c>
      <c r="P154" s="206">
        <v>0</v>
      </c>
      <c r="Q154" s="206">
        <v>0</v>
      </c>
      <c r="R154" s="82">
        <v>2023</v>
      </c>
      <c r="S154" s="82">
        <v>2023</v>
      </c>
      <c r="T154" s="82" t="s">
        <v>598</v>
      </c>
      <c r="U154" s="82" t="s">
        <v>105</v>
      </c>
      <c r="V154" s="82" t="s">
        <v>77</v>
      </c>
      <c r="W154" s="82" t="s">
        <v>804</v>
      </c>
      <c r="X154" s="82" t="s">
        <v>77</v>
      </c>
      <c r="Y154" s="82">
        <v>2023</v>
      </c>
      <c r="Z154" s="144">
        <v>45182.8</v>
      </c>
      <c r="AA154" s="219"/>
      <c r="AB154" s="219"/>
      <c r="AC154" s="219"/>
    </row>
    <row r="155" spans="1:29" s="131" customFormat="1" ht="47.25" x14ac:dyDescent="0.25">
      <c r="A155" s="90" t="s">
        <v>668</v>
      </c>
      <c r="B155" s="154" t="s">
        <v>644</v>
      </c>
      <c r="C155" s="219"/>
      <c r="D155" s="219"/>
      <c r="E155" s="219"/>
      <c r="F155" s="206">
        <v>31612.799999999999</v>
      </c>
      <c r="G155" s="206">
        <v>10537.6</v>
      </c>
      <c r="H155" s="206">
        <v>2218.4423999999999</v>
      </c>
      <c r="I155" s="206">
        <v>0</v>
      </c>
      <c r="J155" s="206">
        <v>0</v>
      </c>
      <c r="K155" s="206">
        <v>0</v>
      </c>
      <c r="L155" s="206">
        <v>0</v>
      </c>
      <c r="M155" s="206">
        <v>0</v>
      </c>
      <c r="N155" s="206">
        <v>0</v>
      </c>
      <c r="O155" s="206">
        <v>0</v>
      </c>
      <c r="P155" s="206">
        <v>0</v>
      </c>
      <c r="Q155" s="206">
        <v>0</v>
      </c>
      <c r="R155" s="82">
        <v>2023</v>
      </c>
      <c r="S155" s="82">
        <v>2023</v>
      </c>
      <c r="T155" s="82" t="s">
        <v>598</v>
      </c>
      <c r="U155" s="82" t="s">
        <v>105</v>
      </c>
      <c r="V155" s="82" t="s">
        <v>77</v>
      </c>
      <c r="W155" s="82" t="s">
        <v>805</v>
      </c>
      <c r="X155" s="82" t="s">
        <v>77</v>
      </c>
      <c r="Y155" s="82">
        <v>2023</v>
      </c>
      <c r="Z155" s="206">
        <v>40210.080000000002</v>
      </c>
      <c r="AA155" s="219"/>
      <c r="AB155" s="219"/>
      <c r="AC155" s="219"/>
    </row>
    <row r="156" spans="1:29" s="131" customFormat="1" ht="47.25" x14ac:dyDescent="0.25">
      <c r="A156" s="90" t="s">
        <v>669</v>
      </c>
      <c r="B156" s="154" t="s">
        <v>645</v>
      </c>
      <c r="C156" s="219"/>
      <c r="D156" s="219"/>
      <c r="E156" s="219"/>
      <c r="F156" s="206">
        <v>28804.9</v>
      </c>
      <c r="G156" s="206">
        <v>9601.6</v>
      </c>
      <c r="H156" s="206">
        <v>5237.25</v>
      </c>
      <c r="I156" s="206">
        <v>0</v>
      </c>
      <c r="J156" s="206">
        <v>0</v>
      </c>
      <c r="K156" s="206">
        <v>0</v>
      </c>
      <c r="L156" s="206">
        <v>0</v>
      </c>
      <c r="M156" s="206">
        <v>0</v>
      </c>
      <c r="N156" s="206">
        <v>0</v>
      </c>
      <c r="O156" s="206">
        <v>0</v>
      </c>
      <c r="P156" s="206">
        <v>0</v>
      </c>
      <c r="Q156" s="206">
        <v>0</v>
      </c>
      <c r="R156" s="82">
        <v>2023</v>
      </c>
      <c r="S156" s="82">
        <v>2023</v>
      </c>
      <c r="T156" s="82" t="s">
        <v>598</v>
      </c>
      <c r="U156" s="82" t="s">
        <v>105</v>
      </c>
      <c r="V156" s="82" t="s">
        <v>77</v>
      </c>
      <c r="W156" s="82" t="s">
        <v>806</v>
      </c>
      <c r="X156" s="82" t="s">
        <v>77</v>
      </c>
      <c r="Y156" s="82">
        <v>2023</v>
      </c>
      <c r="Z156" s="206">
        <v>28314.97</v>
      </c>
      <c r="AA156" s="219"/>
      <c r="AB156" s="219"/>
      <c r="AC156" s="219"/>
    </row>
    <row r="157" spans="1:29" s="131" customFormat="1" ht="47.25" x14ac:dyDescent="0.25">
      <c r="A157" s="90" t="s">
        <v>670</v>
      </c>
      <c r="B157" s="154" t="s">
        <v>646</v>
      </c>
      <c r="C157" s="219"/>
      <c r="D157" s="219"/>
      <c r="E157" s="219"/>
      <c r="F157" s="206">
        <v>37850.400000000001</v>
      </c>
      <c r="G157" s="206">
        <v>12616.8</v>
      </c>
      <c r="H157" s="206">
        <v>8215.5908999999992</v>
      </c>
      <c r="I157" s="206">
        <v>0</v>
      </c>
      <c r="J157" s="206">
        <v>0</v>
      </c>
      <c r="K157" s="206">
        <v>0</v>
      </c>
      <c r="L157" s="206">
        <v>0</v>
      </c>
      <c r="M157" s="206">
        <v>0</v>
      </c>
      <c r="N157" s="206">
        <v>0</v>
      </c>
      <c r="O157" s="206">
        <v>0</v>
      </c>
      <c r="P157" s="206">
        <v>0</v>
      </c>
      <c r="Q157" s="206">
        <v>0</v>
      </c>
      <c r="R157" s="82">
        <v>2023</v>
      </c>
      <c r="S157" s="82">
        <v>2023</v>
      </c>
      <c r="T157" s="82" t="s">
        <v>598</v>
      </c>
      <c r="U157" s="82" t="s">
        <v>105</v>
      </c>
      <c r="V157" s="82" t="s">
        <v>77</v>
      </c>
      <c r="W157" s="82" t="s">
        <v>807</v>
      </c>
      <c r="X157" s="82" t="s">
        <v>77</v>
      </c>
      <c r="Y157" s="82">
        <v>2023</v>
      </c>
      <c r="Z157" s="206">
        <v>46419.12</v>
      </c>
      <c r="AA157" s="219"/>
      <c r="AB157" s="219"/>
      <c r="AC157" s="219"/>
    </row>
    <row r="158" spans="1:29" s="131" customFormat="1" ht="47.25" x14ac:dyDescent="0.25">
      <c r="A158" s="90" t="s">
        <v>671</v>
      </c>
      <c r="B158" s="154" t="s">
        <v>647</v>
      </c>
      <c r="C158" s="219"/>
      <c r="D158" s="219"/>
      <c r="E158" s="219"/>
      <c r="F158" s="206">
        <v>33616.800000000003</v>
      </c>
      <c r="G158" s="206">
        <v>11205.6</v>
      </c>
      <c r="H158" s="206">
        <v>2359.0738999999999</v>
      </c>
      <c r="I158" s="206">
        <v>0</v>
      </c>
      <c r="J158" s="206">
        <v>0</v>
      </c>
      <c r="K158" s="206">
        <v>0</v>
      </c>
      <c r="L158" s="206">
        <v>0</v>
      </c>
      <c r="M158" s="206">
        <v>0</v>
      </c>
      <c r="N158" s="206">
        <v>0</v>
      </c>
      <c r="O158" s="206">
        <v>0</v>
      </c>
      <c r="P158" s="206">
        <v>0</v>
      </c>
      <c r="Q158" s="206">
        <v>0</v>
      </c>
      <c r="R158" s="82">
        <v>2023</v>
      </c>
      <c r="S158" s="82">
        <v>2023</v>
      </c>
      <c r="T158" s="82" t="s">
        <v>598</v>
      </c>
      <c r="U158" s="82" t="s">
        <v>105</v>
      </c>
      <c r="V158" s="82" t="s">
        <v>77</v>
      </c>
      <c r="W158" s="82" t="s">
        <v>808</v>
      </c>
      <c r="X158" s="82" t="s">
        <v>77</v>
      </c>
      <c r="Y158" s="82">
        <v>2023</v>
      </c>
      <c r="Z158" s="206">
        <v>43743.31</v>
      </c>
      <c r="AA158" s="219"/>
      <c r="AB158" s="219"/>
      <c r="AC158" s="219"/>
    </row>
    <row r="159" spans="1:29" s="131" customFormat="1" ht="31.5" x14ac:dyDescent="0.25">
      <c r="A159" s="90" t="s">
        <v>672</v>
      </c>
      <c r="B159" s="154" t="s">
        <v>648</v>
      </c>
      <c r="C159" s="219"/>
      <c r="D159" s="219"/>
      <c r="E159" s="219"/>
      <c r="F159" s="206">
        <v>35734.300000000003</v>
      </c>
      <c r="G159" s="206">
        <v>11911.4</v>
      </c>
      <c r="H159" s="206">
        <v>3041.2150000000001</v>
      </c>
      <c r="I159" s="206">
        <v>0</v>
      </c>
      <c r="J159" s="206">
        <v>0</v>
      </c>
      <c r="K159" s="206">
        <v>0</v>
      </c>
      <c r="L159" s="206">
        <v>0</v>
      </c>
      <c r="M159" s="206">
        <v>0</v>
      </c>
      <c r="N159" s="206">
        <v>0</v>
      </c>
      <c r="O159" s="206">
        <v>0</v>
      </c>
      <c r="P159" s="206">
        <v>0</v>
      </c>
      <c r="Q159" s="206">
        <v>0</v>
      </c>
      <c r="R159" s="82">
        <v>2023</v>
      </c>
      <c r="S159" s="82">
        <v>2023</v>
      </c>
      <c r="T159" s="82" t="s">
        <v>598</v>
      </c>
      <c r="U159" s="82" t="s">
        <v>105</v>
      </c>
      <c r="V159" s="82" t="s">
        <v>77</v>
      </c>
      <c r="W159" s="82" t="s">
        <v>809</v>
      </c>
      <c r="X159" s="82" t="s">
        <v>77</v>
      </c>
      <c r="Y159" s="82">
        <v>2023</v>
      </c>
      <c r="Z159" s="206">
        <v>42509.64</v>
      </c>
      <c r="AA159" s="219"/>
      <c r="AB159" s="219"/>
      <c r="AC159" s="219"/>
    </row>
    <row r="160" spans="1:29" s="131" customFormat="1" ht="47.25" x14ac:dyDescent="0.25">
      <c r="A160" s="90" t="s">
        <v>673</v>
      </c>
      <c r="B160" s="154" t="s">
        <v>649</v>
      </c>
      <c r="C160" s="219"/>
      <c r="D160" s="219"/>
      <c r="E160" s="219"/>
      <c r="F160" s="206">
        <v>34179.599999999999</v>
      </c>
      <c r="G160" s="206">
        <v>11393.2</v>
      </c>
      <c r="H160" s="206">
        <v>4507.2</v>
      </c>
      <c r="I160" s="206">
        <v>0</v>
      </c>
      <c r="J160" s="206">
        <v>0</v>
      </c>
      <c r="K160" s="206">
        <v>0</v>
      </c>
      <c r="L160" s="206">
        <v>0</v>
      </c>
      <c r="M160" s="206">
        <v>0</v>
      </c>
      <c r="N160" s="206">
        <v>0</v>
      </c>
      <c r="O160" s="206">
        <v>0</v>
      </c>
      <c r="P160" s="206">
        <v>0</v>
      </c>
      <c r="Q160" s="206">
        <v>0</v>
      </c>
      <c r="R160" s="82">
        <v>2023</v>
      </c>
      <c r="S160" s="82">
        <v>2023</v>
      </c>
      <c r="T160" s="82" t="s">
        <v>598</v>
      </c>
      <c r="U160" s="82" t="s">
        <v>105</v>
      </c>
      <c r="V160" s="82" t="s">
        <v>77</v>
      </c>
      <c r="W160" s="82" t="s">
        <v>810</v>
      </c>
      <c r="X160" s="82" t="s">
        <v>77</v>
      </c>
      <c r="Y160" s="82">
        <v>2023</v>
      </c>
      <c r="Z160" s="206">
        <v>39189.5</v>
      </c>
      <c r="AA160" s="219"/>
      <c r="AB160" s="219"/>
      <c r="AC160" s="219"/>
    </row>
    <row r="161" spans="1:29" s="131" customFormat="1" ht="31.5" x14ac:dyDescent="0.25">
      <c r="A161" s="90" t="s">
        <v>674</v>
      </c>
      <c r="B161" s="154" t="s">
        <v>650</v>
      </c>
      <c r="C161" s="219"/>
      <c r="D161" s="219"/>
      <c r="E161" s="219"/>
      <c r="F161" s="206">
        <v>35620.300000000003</v>
      </c>
      <c r="G161" s="206">
        <v>11873.4</v>
      </c>
      <c r="H161" s="206">
        <v>5870.0079999999998</v>
      </c>
      <c r="I161" s="206">
        <v>0</v>
      </c>
      <c r="J161" s="206">
        <v>0</v>
      </c>
      <c r="K161" s="206">
        <v>0</v>
      </c>
      <c r="L161" s="206">
        <v>0</v>
      </c>
      <c r="M161" s="206">
        <v>0</v>
      </c>
      <c r="N161" s="206">
        <v>0</v>
      </c>
      <c r="O161" s="206">
        <v>0</v>
      </c>
      <c r="P161" s="206">
        <v>0</v>
      </c>
      <c r="Q161" s="206">
        <v>0</v>
      </c>
      <c r="R161" s="82">
        <v>2023</v>
      </c>
      <c r="S161" s="82">
        <v>2023</v>
      </c>
      <c r="T161" s="82" t="s">
        <v>598</v>
      </c>
      <c r="U161" s="82" t="s">
        <v>105</v>
      </c>
      <c r="V161" s="82" t="s">
        <v>77</v>
      </c>
      <c r="W161" s="82" t="s">
        <v>811</v>
      </c>
      <c r="X161" s="82" t="s">
        <v>77</v>
      </c>
      <c r="Y161" s="82">
        <v>2023</v>
      </c>
      <c r="Z161" s="206">
        <v>35393.919999999998</v>
      </c>
      <c r="AA161" s="219"/>
      <c r="AB161" s="219"/>
      <c r="AC161" s="219"/>
    </row>
    <row r="162" spans="1:29" s="149" customFormat="1" ht="31.5" x14ac:dyDescent="0.25">
      <c r="A162" s="167" t="s">
        <v>867</v>
      </c>
      <c r="B162" s="154" t="s">
        <v>853</v>
      </c>
      <c r="C162" s="219"/>
      <c r="D162" s="219"/>
      <c r="E162" s="219"/>
      <c r="F162" s="144">
        <v>193739.3175</v>
      </c>
      <c r="G162" s="144">
        <v>64579.772499999992</v>
      </c>
      <c r="H162" s="144">
        <v>0</v>
      </c>
      <c r="I162" s="144">
        <v>0</v>
      </c>
      <c r="J162" s="144">
        <v>0</v>
      </c>
      <c r="K162" s="144">
        <v>0</v>
      </c>
      <c r="L162" s="144">
        <v>0</v>
      </c>
      <c r="M162" s="144">
        <v>0</v>
      </c>
      <c r="N162" s="144">
        <v>0</v>
      </c>
      <c r="O162" s="144">
        <v>0</v>
      </c>
      <c r="P162" s="144">
        <v>0</v>
      </c>
      <c r="Q162" s="144">
        <v>0</v>
      </c>
      <c r="R162" s="208">
        <f>Y162</f>
        <v>2023</v>
      </c>
      <c r="S162" s="208">
        <f>R162</f>
        <v>2023</v>
      </c>
      <c r="T162" s="208" t="s">
        <v>598</v>
      </c>
      <c r="U162" s="208" t="s">
        <v>105</v>
      </c>
      <c r="V162" s="208" t="s">
        <v>77</v>
      </c>
      <c r="W162" s="208" t="s">
        <v>891</v>
      </c>
      <c r="X162" s="208" t="s">
        <v>77</v>
      </c>
      <c r="Y162" s="208">
        <v>2023</v>
      </c>
      <c r="Z162" s="144">
        <v>276540.92</v>
      </c>
      <c r="AA162" s="220" t="s">
        <v>1003</v>
      </c>
      <c r="AB162" s="219"/>
      <c r="AC162" s="220" t="s">
        <v>455</v>
      </c>
    </row>
    <row r="163" spans="1:29" s="149" customFormat="1" ht="31.5" x14ac:dyDescent="0.25">
      <c r="A163" s="167" t="s">
        <v>868</v>
      </c>
      <c r="B163" s="154" t="s">
        <v>854</v>
      </c>
      <c r="C163" s="219"/>
      <c r="D163" s="219"/>
      <c r="E163" s="219"/>
      <c r="F163" s="144">
        <v>106435.98749999999</v>
      </c>
      <c r="G163" s="144">
        <v>35478.662500000006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208">
        <f t="shared" ref="R163:R185" si="52">Y163</f>
        <v>2023</v>
      </c>
      <c r="S163" s="208">
        <f t="shared" ref="S163:S185" si="53">R163</f>
        <v>2023</v>
      </c>
      <c r="T163" s="208" t="s">
        <v>598</v>
      </c>
      <c r="U163" s="208" t="s">
        <v>105</v>
      </c>
      <c r="V163" s="208" t="s">
        <v>77</v>
      </c>
      <c r="W163" s="208" t="s">
        <v>892</v>
      </c>
      <c r="X163" s="208" t="s">
        <v>77</v>
      </c>
      <c r="Y163" s="208">
        <v>2023</v>
      </c>
      <c r="Z163" s="144">
        <v>169989.19</v>
      </c>
      <c r="AA163" s="220"/>
      <c r="AB163" s="219"/>
      <c r="AC163" s="220"/>
    </row>
    <row r="164" spans="1:29" s="149" customFormat="1" ht="31.5" x14ac:dyDescent="0.25">
      <c r="A164" s="167" t="s">
        <v>869</v>
      </c>
      <c r="B164" s="154" t="s">
        <v>855</v>
      </c>
      <c r="C164" s="219"/>
      <c r="D164" s="219"/>
      <c r="E164" s="219"/>
      <c r="F164" s="144">
        <v>61173.847500000003</v>
      </c>
      <c r="G164" s="144">
        <v>20391.282500000001</v>
      </c>
      <c r="H164" s="144">
        <v>0</v>
      </c>
      <c r="I164" s="144">
        <v>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208">
        <f t="shared" si="52"/>
        <v>2023</v>
      </c>
      <c r="S164" s="208">
        <f t="shared" si="53"/>
        <v>2023</v>
      </c>
      <c r="T164" s="208" t="s">
        <v>598</v>
      </c>
      <c r="U164" s="208" t="s">
        <v>105</v>
      </c>
      <c r="V164" s="208" t="s">
        <v>77</v>
      </c>
      <c r="W164" s="208" t="s">
        <v>893</v>
      </c>
      <c r="X164" s="208" t="s">
        <v>77</v>
      </c>
      <c r="Y164" s="208">
        <v>2023</v>
      </c>
      <c r="Z164" s="144">
        <v>104455.44</v>
      </c>
      <c r="AA164" s="220"/>
      <c r="AB164" s="219"/>
      <c r="AC164" s="220"/>
    </row>
    <row r="165" spans="1:29" s="149" customFormat="1" ht="47.25" x14ac:dyDescent="0.25">
      <c r="A165" s="167" t="s">
        <v>870</v>
      </c>
      <c r="B165" s="154" t="s">
        <v>856</v>
      </c>
      <c r="C165" s="219"/>
      <c r="D165" s="219"/>
      <c r="E165" s="219"/>
      <c r="F165" s="144">
        <v>33761.955000000002</v>
      </c>
      <c r="G165" s="144">
        <v>11253.985000000001</v>
      </c>
      <c r="H165" s="144">
        <v>0</v>
      </c>
      <c r="I165" s="144">
        <v>0</v>
      </c>
      <c r="J165" s="144">
        <v>0</v>
      </c>
      <c r="K165" s="144">
        <v>0</v>
      </c>
      <c r="L165" s="144">
        <v>0</v>
      </c>
      <c r="M165" s="144">
        <v>0</v>
      </c>
      <c r="N165" s="144">
        <v>0</v>
      </c>
      <c r="O165" s="144">
        <v>0</v>
      </c>
      <c r="P165" s="144">
        <v>0</v>
      </c>
      <c r="Q165" s="144">
        <v>0</v>
      </c>
      <c r="R165" s="208">
        <f t="shared" si="52"/>
        <v>2023</v>
      </c>
      <c r="S165" s="208">
        <f t="shared" si="53"/>
        <v>2023</v>
      </c>
      <c r="T165" s="208" t="s">
        <v>598</v>
      </c>
      <c r="U165" s="208" t="s">
        <v>105</v>
      </c>
      <c r="V165" s="208" t="s">
        <v>77</v>
      </c>
      <c r="W165" s="208" t="s">
        <v>894</v>
      </c>
      <c r="X165" s="208" t="s">
        <v>77</v>
      </c>
      <c r="Y165" s="208">
        <v>2023</v>
      </c>
      <c r="Z165" s="144">
        <v>69296.39</v>
      </c>
      <c r="AA165" s="220"/>
      <c r="AB165" s="219"/>
      <c r="AC165" s="220"/>
    </row>
    <row r="166" spans="1:29" s="149" customFormat="1" ht="31.5" x14ac:dyDescent="0.25">
      <c r="A166" s="167" t="s">
        <v>871</v>
      </c>
      <c r="B166" s="154" t="s">
        <v>857</v>
      </c>
      <c r="C166" s="219"/>
      <c r="D166" s="219"/>
      <c r="E166" s="219"/>
      <c r="F166" s="144">
        <v>40903.485000000001</v>
      </c>
      <c r="G166" s="144">
        <v>13634.495000000003</v>
      </c>
      <c r="H166" s="144">
        <v>0</v>
      </c>
      <c r="I166" s="144">
        <v>0</v>
      </c>
      <c r="J166" s="144">
        <v>0</v>
      </c>
      <c r="K166" s="144">
        <v>0</v>
      </c>
      <c r="L166" s="144">
        <v>0</v>
      </c>
      <c r="M166" s="144">
        <v>0</v>
      </c>
      <c r="N166" s="144">
        <v>0</v>
      </c>
      <c r="O166" s="144">
        <v>0</v>
      </c>
      <c r="P166" s="144">
        <v>0</v>
      </c>
      <c r="Q166" s="144">
        <v>0</v>
      </c>
      <c r="R166" s="208">
        <f t="shared" si="52"/>
        <v>2023</v>
      </c>
      <c r="S166" s="208">
        <f t="shared" si="53"/>
        <v>2023</v>
      </c>
      <c r="T166" s="208" t="s">
        <v>598</v>
      </c>
      <c r="U166" s="208" t="s">
        <v>105</v>
      </c>
      <c r="V166" s="208" t="s">
        <v>77</v>
      </c>
      <c r="W166" s="208" t="s">
        <v>895</v>
      </c>
      <c r="X166" s="208" t="s">
        <v>77</v>
      </c>
      <c r="Y166" s="208">
        <v>2023</v>
      </c>
      <c r="Z166" s="144">
        <v>65937.98</v>
      </c>
      <c r="AA166" s="220"/>
      <c r="AB166" s="219"/>
      <c r="AC166" s="220"/>
    </row>
    <row r="167" spans="1:29" s="149" customFormat="1" ht="36" customHeight="1" x14ac:dyDescent="0.25">
      <c r="A167" s="167" t="s">
        <v>872</v>
      </c>
      <c r="B167" s="154" t="s">
        <v>858</v>
      </c>
      <c r="C167" s="219"/>
      <c r="D167" s="219"/>
      <c r="E167" s="219"/>
      <c r="F167" s="144">
        <v>41646.720000000001</v>
      </c>
      <c r="G167" s="144">
        <v>13882.239999999998</v>
      </c>
      <c r="H167" s="144">
        <v>0</v>
      </c>
      <c r="I167" s="144">
        <v>0</v>
      </c>
      <c r="J167" s="144">
        <v>0</v>
      </c>
      <c r="K167" s="144">
        <v>0</v>
      </c>
      <c r="L167" s="144">
        <v>0</v>
      </c>
      <c r="M167" s="144">
        <v>0</v>
      </c>
      <c r="N167" s="144">
        <v>0</v>
      </c>
      <c r="O167" s="144">
        <v>0</v>
      </c>
      <c r="P167" s="144">
        <v>0</v>
      </c>
      <c r="Q167" s="144">
        <v>0</v>
      </c>
      <c r="R167" s="208">
        <f t="shared" si="52"/>
        <v>2023</v>
      </c>
      <c r="S167" s="208">
        <f t="shared" si="53"/>
        <v>2023</v>
      </c>
      <c r="T167" s="208" t="s">
        <v>598</v>
      </c>
      <c r="U167" s="208" t="s">
        <v>105</v>
      </c>
      <c r="V167" s="208" t="s">
        <v>77</v>
      </c>
      <c r="W167" s="208" t="s">
        <v>896</v>
      </c>
      <c r="X167" s="208" t="s">
        <v>77</v>
      </c>
      <c r="Y167" s="208">
        <v>2023</v>
      </c>
      <c r="Z167" s="144">
        <v>58744.76</v>
      </c>
      <c r="AA167" s="220"/>
      <c r="AB167" s="219"/>
      <c r="AC167" s="220"/>
    </row>
    <row r="168" spans="1:29" s="149" customFormat="1" ht="31.5" x14ac:dyDescent="0.25">
      <c r="A168" s="167" t="s">
        <v>873</v>
      </c>
      <c r="B168" s="154" t="s">
        <v>859</v>
      </c>
      <c r="C168" s="219"/>
      <c r="D168" s="219"/>
      <c r="E168" s="219"/>
      <c r="F168" s="144">
        <v>25959.840000000004</v>
      </c>
      <c r="G168" s="144">
        <v>8653.2799999999988</v>
      </c>
      <c r="H168" s="144">
        <v>0</v>
      </c>
      <c r="I168" s="144">
        <v>0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144">
        <v>0</v>
      </c>
      <c r="P168" s="144">
        <v>0</v>
      </c>
      <c r="Q168" s="144">
        <v>0</v>
      </c>
      <c r="R168" s="208">
        <f t="shared" si="52"/>
        <v>2023</v>
      </c>
      <c r="S168" s="208">
        <f t="shared" si="53"/>
        <v>2023</v>
      </c>
      <c r="T168" s="208" t="s">
        <v>598</v>
      </c>
      <c r="U168" s="208" t="s">
        <v>105</v>
      </c>
      <c r="V168" s="208" t="s">
        <v>77</v>
      </c>
      <c r="W168" s="208" t="s">
        <v>897</v>
      </c>
      <c r="X168" s="208" t="s">
        <v>77</v>
      </c>
      <c r="Y168" s="208">
        <v>2023</v>
      </c>
      <c r="Z168" s="144">
        <v>50406.79</v>
      </c>
      <c r="AA168" s="220"/>
      <c r="AB168" s="219"/>
      <c r="AC168" s="220"/>
    </row>
    <row r="169" spans="1:29" s="149" customFormat="1" ht="31.5" x14ac:dyDescent="0.25">
      <c r="A169" s="167" t="s">
        <v>874</v>
      </c>
      <c r="B169" s="154" t="s">
        <v>859</v>
      </c>
      <c r="C169" s="219"/>
      <c r="D169" s="219"/>
      <c r="E169" s="219"/>
      <c r="F169" s="144">
        <v>3894.4800000000005</v>
      </c>
      <c r="G169" s="144">
        <v>1298.1599999999999</v>
      </c>
      <c r="H169" s="144">
        <v>0</v>
      </c>
      <c r="I169" s="144">
        <v>0</v>
      </c>
      <c r="J169" s="144">
        <v>0</v>
      </c>
      <c r="K169" s="144">
        <v>0</v>
      </c>
      <c r="L169" s="144">
        <v>0</v>
      </c>
      <c r="M169" s="144">
        <v>0</v>
      </c>
      <c r="N169" s="144">
        <v>0</v>
      </c>
      <c r="O169" s="144">
        <v>0</v>
      </c>
      <c r="P169" s="144">
        <v>0</v>
      </c>
      <c r="Q169" s="144">
        <v>0</v>
      </c>
      <c r="R169" s="208">
        <f t="shared" si="52"/>
        <v>2023</v>
      </c>
      <c r="S169" s="208">
        <f t="shared" si="53"/>
        <v>2023</v>
      </c>
      <c r="T169" s="208" t="s">
        <v>598</v>
      </c>
      <c r="U169" s="208" t="s">
        <v>105</v>
      </c>
      <c r="V169" s="208" t="s">
        <v>77</v>
      </c>
      <c r="W169" s="208" t="s">
        <v>897</v>
      </c>
      <c r="X169" s="208" t="s">
        <v>77</v>
      </c>
      <c r="Y169" s="208">
        <v>2023</v>
      </c>
      <c r="Z169" s="144">
        <v>50406.79</v>
      </c>
      <c r="AA169" s="220"/>
      <c r="AB169" s="219"/>
      <c r="AC169" s="220"/>
    </row>
    <row r="170" spans="1:29" s="149" customFormat="1" ht="31.5" x14ac:dyDescent="0.25">
      <c r="A170" s="167" t="s">
        <v>875</v>
      </c>
      <c r="B170" s="154" t="s">
        <v>960</v>
      </c>
      <c r="C170" s="219"/>
      <c r="D170" s="219"/>
      <c r="E170" s="219"/>
      <c r="F170" s="144">
        <v>24844.83</v>
      </c>
      <c r="G170" s="144">
        <v>8281.61</v>
      </c>
      <c r="H170" s="144">
        <v>0</v>
      </c>
      <c r="I170" s="144">
        <v>0</v>
      </c>
      <c r="J170" s="144">
        <v>0</v>
      </c>
      <c r="K170" s="144">
        <v>0</v>
      </c>
      <c r="L170" s="144">
        <v>0</v>
      </c>
      <c r="M170" s="144">
        <v>0</v>
      </c>
      <c r="N170" s="144">
        <v>0</v>
      </c>
      <c r="O170" s="144">
        <v>0</v>
      </c>
      <c r="P170" s="144">
        <v>0</v>
      </c>
      <c r="Q170" s="144">
        <v>0</v>
      </c>
      <c r="R170" s="208">
        <f t="shared" si="52"/>
        <v>2023</v>
      </c>
      <c r="S170" s="208">
        <f t="shared" si="53"/>
        <v>2023</v>
      </c>
      <c r="T170" s="208" t="s">
        <v>598</v>
      </c>
      <c r="U170" s="208" t="s">
        <v>105</v>
      </c>
      <c r="V170" s="208" t="s">
        <v>77</v>
      </c>
      <c r="W170" s="208" t="s">
        <v>898</v>
      </c>
      <c r="X170" s="208" t="s">
        <v>77</v>
      </c>
      <c r="Y170" s="208">
        <v>2023</v>
      </c>
      <c r="Z170" s="144">
        <v>35610.33</v>
      </c>
      <c r="AA170" s="220"/>
      <c r="AB170" s="219"/>
      <c r="AC170" s="220"/>
    </row>
    <row r="171" spans="1:29" s="149" customFormat="1" ht="31.5" x14ac:dyDescent="0.25">
      <c r="A171" s="167" t="s">
        <v>876</v>
      </c>
      <c r="B171" s="154" t="s">
        <v>961</v>
      </c>
      <c r="C171" s="219"/>
      <c r="D171" s="219"/>
      <c r="E171" s="219"/>
      <c r="F171" s="144">
        <v>8895.9600000000009</v>
      </c>
      <c r="G171" s="144">
        <v>2965.3199999999997</v>
      </c>
      <c r="H171" s="144">
        <v>0</v>
      </c>
      <c r="I171" s="144">
        <v>0</v>
      </c>
      <c r="J171" s="144">
        <v>0</v>
      </c>
      <c r="K171" s="144">
        <v>0</v>
      </c>
      <c r="L171" s="144">
        <v>0</v>
      </c>
      <c r="M171" s="144">
        <v>0</v>
      </c>
      <c r="N171" s="144">
        <v>0</v>
      </c>
      <c r="O171" s="144">
        <v>0</v>
      </c>
      <c r="P171" s="144">
        <v>0</v>
      </c>
      <c r="Q171" s="144">
        <v>0</v>
      </c>
      <c r="R171" s="208">
        <f t="shared" si="52"/>
        <v>2023</v>
      </c>
      <c r="S171" s="208">
        <f t="shared" si="53"/>
        <v>2023</v>
      </c>
      <c r="T171" s="208" t="s">
        <v>598</v>
      </c>
      <c r="U171" s="208" t="s">
        <v>105</v>
      </c>
      <c r="V171" s="208" t="s">
        <v>77</v>
      </c>
      <c r="W171" s="208" t="s">
        <v>899</v>
      </c>
      <c r="X171" s="208" t="s">
        <v>77</v>
      </c>
      <c r="Y171" s="208">
        <v>2023</v>
      </c>
      <c r="Z171" s="144">
        <v>24127.39</v>
      </c>
      <c r="AA171" s="220"/>
      <c r="AB171" s="219"/>
      <c r="AC171" s="220"/>
    </row>
    <row r="172" spans="1:29" s="149" customFormat="1" ht="75" customHeight="1" x14ac:dyDescent="0.25">
      <c r="A172" s="167" t="s">
        <v>877</v>
      </c>
      <c r="B172" s="154" t="s">
        <v>978</v>
      </c>
      <c r="C172" s="219"/>
      <c r="D172" s="219"/>
      <c r="E172" s="219"/>
      <c r="F172" s="144">
        <v>15452.954999999998</v>
      </c>
      <c r="G172" s="144">
        <v>5150.9850000000006</v>
      </c>
      <c r="H172" s="144">
        <v>0</v>
      </c>
      <c r="I172" s="144">
        <v>0</v>
      </c>
      <c r="J172" s="144">
        <v>0</v>
      </c>
      <c r="K172" s="144">
        <v>0</v>
      </c>
      <c r="L172" s="144">
        <v>0</v>
      </c>
      <c r="M172" s="144">
        <v>0</v>
      </c>
      <c r="N172" s="144">
        <v>0</v>
      </c>
      <c r="O172" s="144">
        <v>0</v>
      </c>
      <c r="P172" s="144">
        <v>0</v>
      </c>
      <c r="Q172" s="144">
        <v>0</v>
      </c>
      <c r="R172" s="208">
        <f t="shared" si="52"/>
        <v>2023</v>
      </c>
      <c r="S172" s="208">
        <f t="shared" si="53"/>
        <v>2023</v>
      </c>
      <c r="T172" s="208" t="s">
        <v>598</v>
      </c>
      <c r="U172" s="208" t="s">
        <v>105</v>
      </c>
      <c r="V172" s="208" t="s">
        <v>77</v>
      </c>
      <c r="W172" s="208" t="s">
        <v>1036</v>
      </c>
      <c r="X172" s="208" t="s">
        <v>77</v>
      </c>
      <c r="Y172" s="208">
        <v>2023</v>
      </c>
      <c r="Z172" s="144">
        <f>13015.15+9066.15</f>
        <v>22081.3</v>
      </c>
      <c r="AA172" s="220"/>
      <c r="AB172" s="219"/>
      <c r="AC172" s="220"/>
    </row>
    <row r="173" spans="1:29" s="149" customFormat="1" ht="31.5" x14ac:dyDescent="0.25">
      <c r="A173" s="167" t="s">
        <v>878</v>
      </c>
      <c r="B173" s="154" t="s">
        <v>959</v>
      </c>
      <c r="C173" s="219"/>
      <c r="D173" s="219"/>
      <c r="E173" s="219"/>
      <c r="F173" s="144">
        <v>13008.344999999999</v>
      </c>
      <c r="G173" s="144">
        <v>4336.1149999999998</v>
      </c>
      <c r="H173" s="144">
        <v>0</v>
      </c>
      <c r="I173" s="144">
        <v>0</v>
      </c>
      <c r="J173" s="144">
        <v>0</v>
      </c>
      <c r="K173" s="144">
        <v>0</v>
      </c>
      <c r="L173" s="144">
        <v>0</v>
      </c>
      <c r="M173" s="144">
        <v>0</v>
      </c>
      <c r="N173" s="144">
        <v>0</v>
      </c>
      <c r="O173" s="144">
        <v>0</v>
      </c>
      <c r="P173" s="144">
        <v>0</v>
      </c>
      <c r="Q173" s="144">
        <v>0</v>
      </c>
      <c r="R173" s="208">
        <f t="shared" si="52"/>
        <v>2023</v>
      </c>
      <c r="S173" s="208">
        <f t="shared" si="53"/>
        <v>2023</v>
      </c>
      <c r="T173" s="208" t="s">
        <v>598</v>
      </c>
      <c r="U173" s="208" t="s">
        <v>105</v>
      </c>
      <c r="V173" s="208" t="s">
        <v>77</v>
      </c>
      <c r="W173" s="208" t="s">
        <v>900</v>
      </c>
      <c r="X173" s="208" t="s">
        <v>77</v>
      </c>
      <c r="Y173" s="208">
        <v>2023</v>
      </c>
      <c r="Z173" s="144">
        <v>18291.95</v>
      </c>
      <c r="AA173" s="220"/>
      <c r="AB173" s="219"/>
      <c r="AC173" s="220"/>
    </row>
    <row r="174" spans="1:29" s="149" customFormat="1" ht="31.5" x14ac:dyDescent="0.25">
      <c r="A174" s="167" t="s">
        <v>879</v>
      </c>
      <c r="B174" s="154" t="s">
        <v>957</v>
      </c>
      <c r="C174" s="219"/>
      <c r="D174" s="219"/>
      <c r="E174" s="219"/>
      <c r="F174" s="144">
        <v>12758.295000000002</v>
      </c>
      <c r="G174" s="144">
        <v>4252.7649999999994</v>
      </c>
      <c r="H174" s="144">
        <v>0</v>
      </c>
      <c r="I174" s="144">
        <v>0</v>
      </c>
      <c r="J174" s="144">
        <v>0</v>
      </c>
      <c r="K174" s="144">
        <v>0</v>
      </c>
      <c r="L174" s="144">
        <v>0</v>
      </c>
      <c r="M174" s="144">
        <v>0</v>
      </c>
      <c r="N174" s="144">
        <v>0</v>
      </c>
      <c r="O174" s="144">
        <v>0</v>
      </c>
      <c r="P174" s="144">
        <v>0</v>
      </c>
      <c r="Q174" s="144">
        <v>0</v>
      </c>
      <c r="R174" s="208">
        <f t="shared" si="52"/>
        <v>2023</v>
      </c>
      <c r="S174" s="208">
        <f t="shared" si="53"/>
        <v>2023</v>
      </c>
      <c r="T174" s="208" t="s">
        <v>598</v>
      </c>
      <c r="U174" s="208" t="s">
        <v>105</v>
      </c>
      <c r="V174" s="208" t="s">
        <v>77</v>
      </c>
      <c r="W174" s="208" t="s">
        <v>901</v>
      </c>
      <c r="X174" s="208" t="s">
        <v>77</v>
      </c>
      <c r="Y174" s="208">
        <v>2023</v>
      </c>
      <c r="Z174" s="144">
        <v>17420.36</v>
      </c>
      <c r="AA174" s="220"/>
      <c r="AB174" s="219"/>
      <c r="AC174" s="220"/>
    </row>
    <row r="175" spans="1:29" s="149" customFormat="1" ht="31.5" x14ac:dyDescent="0.25">
      <c r="A175" s="167" t="s">
        <v>880</v>
      </c>
      <c r="B175" s="154" t="s">
        <v>958</v>
      </c>
      <c r="C175" s="219"/>
      <c r="D175" s="219"/>
      <c r="E175" s="219"/>
      <c r="F175" s="144">
        <v>11857.844999999999</v>
      </c>
      <c r="G175" s="144">
        <v>3952.6149999999998</v>
      </c>
      <c r="H175" s="144">
        <v>0</v>
      </c>
      <c r="I175" s="144">
        <v>0</v>
      </c>
      <c r="J175" s="144">
        <v>0</v>
      </c>
      <c r="K175" s="144">
        <v>0</v>
      </c>
      <c r="L175" s="144">
        <v>0</v>
      </c>
      <c r="M175" s="144">
        <v>0</v>
      </c>
      <c r="N175" s="144">
        <v>0</v>
      </c>
      <c r="O175" s="144">
        <v>0</v>
      </c>
      <c r="P175" s="144">
        <v>0</v>
      </c>
      <c r="Q175" s="144">
        <v>0</v>
      </c>
      <c r="R175" s="208">
        <f t="shared" si="52"/>
        <v>2023</v>
      </c>
      <c r="S175" s="208">
        <f t="shared" si="53"/>
        <v>2023</v>
      </c>
      <c r="T175" s="208" t="s">
        <v>598</v>
      </c>
      <c r="U175" s="208" t="s">
        <v>105</v>
      </c>
      <c r="V175" s="208" t="s">
        <v>77</v>
      </c>
      <c r="W175" s="208" t="s">
        <v>902</v>
      </c>
      <c r="X175" s="208" t="s">
        <v>77</v>
      </c>
      <c r="Y175" s="208">
        <v>2023</v>
      </c>
      <c r="Z175" s="144">
        <v>16903.68</v>
      </c>
      <c r="AA175" s="220"/>
      <c r="AB175" s="219"/>
      <c r="AC175" s="220"/>
    </row>
    <row r="176" spans="1:29" s="149" customFormat="1" ht="31.5" x14ac:dyDescent="0.25">
      <c r="A176" s="167" t="s">
        <v>881</v>
      </c>
      <c r="B176" s="154" t="s">
        <v>956</v>
      </c>
      <c r="C176" s="219"/>
      <c r="D176" s="219"/>
      <c r="E176" s="219"/>
      <c r="F176" s="144">
        <v>11499.8925</v>
      </c>
      <c r="G176" s="144">
        <v>3833.2975000000006</v>
      </c>
      <c r="H176" s="144">
        <v>0</v>
      </c>
      <c r="I176" s="144">
        <v>0</v>
      </c>
      <c r="J176" s="144">
        <v>0</v>
      </c>
      <c r="K176" s="144">
        <v>0</v>
      </c>
      <c r="L176" s="144">
        <v>0</v>
      </c>
      <c r="M176" s="144">
        <v>0</v>
      </c>
      <c r="N176" s="144">
        <v>0</v>
      </c>
      <c r="O176" s="144">
        <v>0</v>
      </c>
      <c r="P176" s="144">
        <v>0</v>
      </c>
      <c r="Q176" s="144">
        <v>0</v>
      </c>
      <c r="R176" s="208">
        <f t="shared" si="52"/>
        <v>2023</v>
      </c>
      <c r="S176" s="208">
        <f t="shared" si="53"/>
        <v>2023</v>
      </c>
      <c r="T176" s="208" t="s">
        <v>598</v>
      </c>
      <c r="U176" s="208" t="s">
        <v>105</v>
      </c>
      <c r="V176" s="208" t="s">
        <v>77</v>
      </c>
      <c r="W176" s="208" t="s">
        <v>903</v>
      </c>
      <c r="X176" s="208" t="s">
        <v>77</v>
      </c>
      <c r="Y176" s="208">
        <v>2023</v>
      </c>
      <c r="Z176" s="144">
        <v>15908.02</v>
      </c>
      <c r="AA176" s="220"/>
      <c r="AB176" s="219"/>
      <c r="AC176" s="220"/>
    </row>
    <row r="177" spans="1:29" s="149" customFormat="1" ht="31.5" x14ac:dyDescent="0.25">
      <c r="A177" s="167" t="s">
        <v>882</v>
      </c>
      <c r="B177" s="154" t="s">
        <v>860</v>
      </c>
      <c r="C177" s="219"/>
      <c r="D177" s="219"/>
      <c r="E177" s="219"/>
      <c r="F177" s="144">
        <v>10359.172500000001</v>
      </c>
      <c r="G177" s="144">
        <v>3453.057499999999</v>
      </c>
      <c r="H177" s="144">
        <v>0</v>
      </c>
      <c r="I177" s="144">
        <v>0</v>
      </c>
      <c r="J177" s="144">
        <v>0</v>
      </c>
      <c r="K177" s="144">
        <v>0</v>
      </c>
      <c r="L177" s="144">
        <v>0</v>
      </c>
      <c r="M177" s="144">
        <v>0</v>
      </c>
      <c r="N177" s="144">
        <v>0</v>
      </c>
      <c r="O177" s="144">
        <v>0</v>
      </c>
      <c r="P177" s="144">
        <v>0</v>
      </c>
      <c r="Q177" s="144">
        <v>0</v>
      </c>
      <c r="R177" s="208">
        <f t="shared" si="52"/>
        <v>2023</v>
      </c>
      <c r="S177" s="208">
        <f t="shared" si="53"/>
        <v>2023</v>
      </c>
      <c r="T177" s="208" t="s">
        <v>598</v>
      </c>
      <c r="U177" s="208" t="s">
        <v>105</v>
      </c>
      <c r="V177" s="208" t="s">
        <v>77</v>
      </c>
      <c r="W177" s="208" t="s">
        <v>904</v>
      </c>
      <c r="X177" s="208" t="s">
        <v>77</v>
      </c>
      <c r="Y177" s="208">
        <v>2023</v>
      </c>
      <c r="Z177" s="144">
        <v>14125.21</v>
      </c>
      <c r="AA177" s="220"/>
      <c r="AB177" s="219"/>
      <c r="AC177" s="220"/>
    </row>
    <row r="178" spans="1:29" s="149" customFormat="1" ht="31.5" x14ac:dyDescent="0.25">
      <c r="A178" s="167" t="s">
        <v>883</v>
      </c>
      <c r="B178" s="154" t="s">
        <v>979</v>
      </c>
      <c r="C178" s="219"/>
      <c r="D178" s="219"/>
      <c r="E178" s="219"/>
      <c r="F178" s="144">
        <v>8814.7950000000001</v>
      </c>
      <c r="G178" s="144">
        <v>2938.2649999999994</v>
      </c>
      <c r="H178" s="144">
        <v>0</v>
      </c>
      <c r="I178" s="144">
        <v>0</v>
      </c>
      <c r="J178" s="144">
        <v>0</v>
      </c>
      <c r="K178" s="144">
        <v>0</v>
      </c>
      <c r="L178" s="144">
        <v>0</v>
      </c>
      <c r="M178" s="144">
        <v>0</v>
      </c>
      <c r="N178" s="144">
        <v>0</v>
      </c>
      <c r="O178" s="144">
        <v>0</v>
      </c>
      <c r="P178" s="144">
        <v>0</v>
      </c>
      <c r="Q178" s="144">
        <v>0</v>
      </c>
      <c r="R178" s="208">
        <f t="shared" si="52"/>
        <v>2023</v>
      </c>
      <c r="S178" s="208">
        <f t="shared" si="53"/>
        <v>2023</v>
      </c>
      <c r="T178" s="208" t="s">
        <v>598</v>
      </c>
      <c r="U178" s="208" t="s">
        <v>105</v>
      </c>
      <c r="V178" s="208" t="s">
        <v>77</v>
      </c>
      <c r="W178" s="208" t="s">
        <v>905</v>
      </c>
      <c r="X178" s="208" t="s">
        <v>77</v>
      </c>
      <c r="Y178" s="208">
        <v>2023</v>
      </c>
      <c r="Z178" s="144">
        <v>12609.48</v>
      </c>
      <c r="AA178" s="220"/>
      <c r="AB178" s="219"/>
      <c r="AC178" s="220"/>
    </row>
    <row r="179" spans="1:29" s="149" customFormat="1" ht="63" x14ac:dyDescent="0.25">
      <c r="A179" s="167" t="s">
        <v>884</v>
      </c>
      <c r="B179" s="154" t="s">
        <v>861</v>
      </c>
      <c r="C179" s="219"/>
      <c r="D179" s="219"/>
      <c r="E179" s="219"/>
      <c r="F179" s="144">
        <v>7450.2449999999999</v>
      </c>
      <c r="G179" s="144">
        <v>2483.415</v>
      </c>
      <c r="H179" s="144">
        <v>0</v>
      </c>
      <c r="I179" s="144">
        <v>0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144">
        <v>0</v>
      </c>
      <c r="P179" s="144">
        <v>0</v>
      </c>
      <c r="Q179" s="144">
        <v>0</v>
      </c>
      <c r="R179" s="208">
        <f t="shared" si="52"/>
        <v>2023</v>
      </c>
      <c r="S179" s="208">
        <f t="shared" si="53"/>
        <v>2023</v>
      </c>
      <c r="T179" s="208" t="s">
        <v>598</v>
      </c>
      <c r="U179" s="208" t="s">
        <v>105</v>
      </c>
      <c r="V179" s="208" t="s">
        <v>77</v>
      </c>
      <c r="W179" s="208" t="s">
        <v>906</v>
      </c>
      <c r="X179" s="208" t="s">
        <v>77</v>
      </c>
      <c r="Y179" s="208">
        <v>2023</v>
      </c>
      <c r="Z179" s="144">
        <f>6907.26+3604.38</f>
        <v>10511.64</v>
      </c>
      <c r="AA179" s="220"/>
      <c r="AB179" s="219"/>
      <c r="AC179" s="220"/>
    </row>
    <row r="180" spans="1:29" s="149" customFormat="1" ht="31.5" x14ac:dyDescent="0.25">
      <c r="A180" s="167" t="s">
        <v>885</v>
      </c>
      <c r="B180" s="154" t="s">
        <v>862</v>
      </c>
      <c r="C180" s="219"/>
      <c r="D180" s="219"/>
      <c r="E180" s="219"/>
      <c r="F180" s="144">
        <v>6473.4525000000003</v>
      </c>
      <c r="G180" s="144">
        <v>2157.8175000000001</v>
      </c>
      <c r="H180" s="144">
        <v>0</v>
      </c>
      <c r="I180" s="144">
        <v>0</v>
      </c>
      <c r="J180" s="144">
        <v>0</v>
      </c>
      <c r="K180" s="144">
        <v>0</v>
      </c>
      <c r="L180" s="144">
        <v>0</v>
      </c>
      <c r="M180" s="144">
        <v>0</v>
      </c>
      <c r="N180" s="144">
        <v>0</v>
      </c>
      <c r="O180" s="144">
        <v>0</v>
      </c>
      <c r="P180" s="144">
        <v>0</v>
      </c>
      <c r="Q180" s="144">
        <v>0</v>
      </c>
      <c r="R180" s="208">
        <f t="shared" si="52"/>
        <v>2023</v>
      </c>
      <c r="S180" s="208">
        <f t="shared" si="53"/>
        <v>2023</v>
      </c>
      <c r="T180" s="208" t="s">
        <v>598</v>
      </c>
      <c r="U180" s="208" t="s">
        <v>105</v>
      </c>
      <c r="V180" s="208" t="s">
        <v>77</v>
      </c>
      <c r="W180" s="208" t="s">
        <v>907</v>
      </c>
      <c r="X180" s="208" t="s">
        <v>77</v>
      </c>
      <c r="Y180" s="208">
        <v>2023</v>
      </c>
      <c r="Z180" s="144">
        <v>8838.99</v>
      </c>
      <c r="AA180" s="220"/>
      <c r="AB180" s="219"/>
      <c r="AC180" s="220"/>
    </row>
    <row r="181" spans="1:29" s="149" customFormat="1" ht="178.5" customHeight="1" x14ac:dyDescent="0.25">
      <c r="A181" s="167" t="s">
        <v>886</v>
      </c>
      <c r="B181" s="154" t="s">
        <v>863</v>
      </c>
      <c r="C181" s="219"/>
      <c r="D181" s="219"/>
      <c r="E181" s="219"/>
      <c r="F181" s="144">
        <v>6073.62</v>
      </c>
      <c r="G181" s="144">
        <v>2024.54</v>
      </c>
      <c r="H181" s="144">
        <v>0</v>
      </c>
      <c r="I181" s="144">
        <v>0</v>
      </c>
      <c r="J181" s="144">
        <v>0</v>
      </c>
      <c r="K181" s="144">
        <v>0</v>
      </c>
      <c r="L181" s="144">
        <v>0</v>
      </c>
      <c r="M181" s="144">
        <v>0</v>
      </c>
      <c r="N181" s="144">
        <v>0</v>
      </c>
      <c r="O181" s="144">
        <v>0</v>
      </c>
      <c r="P181" s="144">
        <v>0</v>
      </c>
      <c r="Q181" s="144">
        <v>0</v>
      </c>
      <c r="R181" s="208">
        <f t="shared" si="52"/>
        <v>2023</v>
      </c>
      <c r="S181" s="208">
        <f t="shared" si="53"/>
        <v>2023</v>
      </c>
      <c r="T181" s="208" t="s">
        <v>598</v>
      </c>
      <c r="U181" s="208" t="s">
        <v>105</v>
      </c>
      <c r="V181" s="208" t="s">
        <v>77</v>
      </c>
      <c r="W181" s="208" t="s">
        <v>908</v>
      </c>
      <c r="X181" s="208" t="s">
        <v>77</v>
      </c>
      <c r="Y181" s="208">
        <v>2023</v>
      </c>
      <c r="Z181" s="144">
        <f>3188.75+551.96+3118.64+884.52+783.24</f>
        <v>8527.11</v>
      </c>
      <c r="AA181" s="220"/>
      <c r="AB181" s="219"/>
      <c r="AC181" s="220"/>
    </row>
    <row r="182" spans="1:29" s="149" customFormat="1" ht="47.25" x14ac:dyDescent="0.25">
      <c r="A182" s="167" t="s">
        <v>887</v>
      </c>
      <c r="B182" s="154" t="s">
        <v>962</v>
      </c>
      <c r="C182" s="219"/>
      <c r="D182" s="219"/>
      <c r="E182" s="219"/>
      <c r="F182" s="144">
        <v>5908.8975</v>
      </c>
      <c r="G182" s="144">
        <v>1969.6324999999997</v>
      </c>
      <c r="H182" s="144">
        <v>0</v>
      </c>
      <c r="I182" s="144">
        <v>0</v>
      </c>
      <c r="J182" s="144">
        <v>0</v>
      </c>
      <c r="K182" s="144">
        <v>0</v>
      </c>
      <c r="L182" s="144">
        <v>0</v>
      </c>
      <c r="M182" s="144">
        <v>0</v>
      </c>
      <c r="N182" s="144">
        <v>0</v>
      </c>
      <c r="O182" s="144">
        <v>0</v>
      </c>
      <c r="P182" s="144">
        <v>0</v>
      </c>
      <c r="Q182" s="144">
        <v>0</v>
      </c>
      <c r="R182" s="208">
        <f t="shared" si="52"/>
        <v>2023</v>
      </c>
      <c r="S182" s="208">
        <f t="shared" si="53"/>
        <v>2023</v>
      </c>
      <c r="T182" s="208" t="s">
        <v>598</v>
      </c>
      <c r="U182" s="208" t="s">
        <v>105</v>
      </c>
      <c r="V182" s="208" t="s">
        <v>77</v>
      </c>
      <c r="W182" s="208" t="s">
        <v>909</v>
      </c>
      <c r="X182" s="208" t="s">
        <v>77</v>
      </c>
      <c r="Y182" s="208">
        <v>2023</v>
      </c>
      <c r="Z182" s="144">
        <v>8317.86</v>
      </c>
      <c r="AA182" s="220"/>
      <c r="AB182" s="219"/>
      <c r="AC182" s="220"/>
    </row>
    <row r="183" spans="1:29" s="149" customFormat="1" ht="31.5" x14ac:dyDescent="0.25">
      <c r="A183" s="167" t="s">
        <v>888</v>
      </c>
      <c r="B183" s="154" t="s">
        <v>864</v>
      </c>
      <c r="C183" s="219"/>
      <c r="D183" s="219"/>
      <c r="E183" s="219"/>
      <c r="F183" s="144">
        <v>4071.6224999999999</v>
      </c>
      <c r="G183" s="144">
        <v>1357.2075</v>
      </c>
      <c r="H183" s="144">
        <v>0</v>
      </c>
      <c r="I183" s="144">
        <v>0</v>
      </c>
      <c r="J183" s="144">
        <v>0</v>
      </c>
      <c r="K183" s="144">
        <v>0</v>
      </c>
      <c r="L183" s="144">
        <v>0</v>
      </c>
      <c r="M183" s="144">
        <v>0</v>
      </c>
      <c r="N183" s="144">
        <v>0</v>
      </c>
      <c r="O183" s="144">
        <v>0</v>
      </c>
      <c r="P183" s="144">
        <v>0</v>
      </c>
      <c r="Q183" s="144">
        <v>0</v>
      </c>
      <c r="R183" s="208">
        <f t="shared" si="52"/>
        <v>2023</v>
      </c>
      <c r="S183" s="208">
        <f t="shared" si="53"/>
        <v>2023</v>
      </c>
      <c r="T183" s="208" t="s">
        <v>598</v>
      </c>
      <c r="U183" s="208" t="s">
        <v>105</v>
      </c>
      <c r="V183" s="208" t="s">
        <v>77</v>
      </c>
      <c r="W183" s="208" t="s">
        <v>910</v>
      </c>
      <c r="X183" s="208" t="s">
        <v>77</v>
      </c>
      <c r="Y183" s="208">
        <v>2023</v>
      </c>
      <c r="Z183" s="144">
        <v>5682.72</v>
      </c>
      <c r="AA183" s="220"/>
      <c r="AB183" s="219"/>
      <c r="AC183" s="220"/>
    </row>
    <row r="184" spans="1:29" s="171" customFormat="1" ht="31.5" x14ac:dyDescent="0.25">
      <c r="A184" s="167" t="s">
        <v>889</v>
      </c>
      <c r="B184" s="154" t="s">
        <v>865</v>
      </c>
      <c r="C184" s="219"/>
      <c r="D184" s="219"/>
      <c r="E184" s="219"/>
      <c r="F184" s="144">
        <v>3521.9549999999999</v>
      </c>
      <c r="G184" s="144">
        <v>1173.9849999999997</v>
      </c>
      <c r="H184" s="144">
        <v>0</v>
      </c>
      <c r="I184" s="144">
        <v>0</v>
      </c>
      <c r="J184" s="144">
        <v>0</v>
      </c>
      <c r="K184" s="144">
        <v>0</v>
      </c>
      <c r="L184" s="144">
        <v>0</v>
      </c>
      <c r="M184" s="144">
        <v>0</v>
      </c>
      <c r="N184" s="144">
        <v>0</v>
      </c>
      <c r="O184" s="144">
        <v>0</v>
      </c>
      <c r="P184" s="144">
        <v>0</v>
      </c>
      <c r="Q184" s="144">
        <v>0</v>
      </c>
      <c r="R184" s="208">
        <f t="shared" si="52"/>
        <v>2023</v>
      </c>
      <c r="S184" s="208">
        <f t="shared" si="53"/>
        <v>2023</v>
      </c>
      <c r="T184" s="208" t="s">
        <v>598</v>
      </c>
      <c r="U184" s="208" t="s">
        <v>105</v>
      </c>
      <c r="V184" s="208" t="s">
        <v>77</v>
      </c>
      <c r="W184" s="208" t="s">
        <v>911</v>
      </c>
      <c r="X184" s="208" t="s">
        <v>77</v>
      </c>
      <c r="Y184" s="208">
        <v>2023</v>
      </c>
      <c r="Z184" s="144">
        <v>4940.3</v>
      </c>
      <c r="AA184" s="220"/>
      <c r="AB184" s="219"/>
      <c r="AC184" s="220"/>
    </row>
    <row r="185" spans="1:29" s="171" customFormat="1" ht="31.5" x14ac:dyDescent="0.25">
      <c r="A185" s="167" t="s">
        <v>890</v>
      </c>
      <c r="B185" s="154" t="s">
        <v>866</v>
      </c>
      <c r="C185" s="219"/>
      <c r="D185" s="219"/>
      <c r="E185" s="219"/>
      <c r="F185" s="144">
        <v>964.16249999999991</v>
      </c>
      <c r="G185" s="144">
        <v>321.38750000000005</v>
      </c>
      <c r="H185" s="144">
        <v>0</v>
      </c>
      <c r="I185" s="144">
        <v>0</v>
      </c>
      <c r="J185" s="144">
        <v>0</v>
      </c>
      <c r="K185" s="144">
        <v>0</v>
      </c>
      <c r="L185" s="144">
        <v>0</v>
      </c>
      <c r="M185" s="144">
        <v>0</v>
      </c>
      <c r="N185" s="144">
        <v>0</v>
      </c>
      <c r="O185" s="144">
        <v>0</v>
      </c>
      <c r="P185" s="144">
        <v>0</v>
      </c>
      <c r="Q185" s="144">
        <v>0</v>
      </c>
      <c r="R185" s="208">
        <f t="shared" si="52"/>
        <v>2023</v>
      </c>
      <c r="S185" s="208">
        <f t="shared" si="53"/>
        <v>2023</v>
      </c>
      <c r="T185" s="208" t="s">
        <v>598</v>
      </c>
      <c r="U185" s="208" t="s">
        <v>105</v>
      </c>
      <c r="V185" s="208" t="s">
        <v>77</v>
      </c>
      <c r="W185" s="208" t="s">
        <v>912</v>
      </c>
      <c r="X185" s="208" t="s">
        <v>77</v>
      </c>
      <c r="Y185" s="208">
        <v>2023</v>
      </c>
      <c r="Z185" s="144">
        <v>1356.92</v>
      </c>
      <c r="AA185" s="220"/>
      <c r="AB185" s="219"/>
      <c r="AC185" s="220"/>
    </row>
    <row r="186" spans="1:29" s="22" customFormat="1" ht="62.25" customHeight="1" x14ac:dyDescent="0.25">
      <c r="A186" s="41" t="s">
        <v>681</v>
      </c>
      <c r="B186" s="4" t="s">
        <v>31</v>
      </c>
      <c r="C186" s="2" t="s">
        <v>15</v>
      </c>
      <c r="D186" s="2" t="s">
        <v>15</v>
      </c>
      <c r="E186" s="2" t="s">
        <v>15</v>
      </c>
      <c r="F186" s="8">
        <f>F187+F190</f>
        <v>3687229.6</v>
      </c>
      <c r="G186" s="8">
        <f t="shared" ref="G186:Q186" si="54">G187+G190</f>
        <v>485226.09999999986</v>
      </c>
      <c r="H186" s="8">
        <f t="shared" si="54"/>
        <v>0</v>
      </c>
      <c r="I186" s="8">
        <f t="shared" si="54"/>
        <v>0</v>
      </c>
      <c r="J186" s="8">
        <f t="shared" si="54"/>
        <v>3775555.1999999997</v>
      </c>
      <c r="K186" s="8">
        <f t="shared" si="54"/>
        <v>498853.20000000019</v>
      </c>
      <c r="L186" s="8">
        <f t="shared" si="54"/>
        <v>0</v>
      </c>
      <c r="M186" s="8">
        <f t="shared" si="54"/>
        <v>0</v>
      </c>
      <c r="N186" s="8">
        <f t="shared" si="54"/>
        <v>0</v>
      </c>
      <c r="O186" s="8">
        <f t="shared" si="54"/>
        <v>0</v>
      </c>
      <c r="P186" s="8">
        <f t="shared" si="54"/>
        <v>0</v>
      </c>
      <c r="Q186" s="8">
        <f t="shared" si="54"/>
        <v>0</v>
      </c>
      <c r="R186" s="2" t="s">
        <v>15</v>
      </c>
      <c r="S186" s="2" t="s">
        <v>15</v>
      </c>
      <c r="T186" s="2" t="s">
        <v>15</v>
      </c>
      <c r="U186" s="2" t="s">
        <v>15</v>
      </c>
      <c r="V186" s="2" t="s">
        <v>15</v>
      </c>
      <c r="W186" s="2" t="s">
        <v>15</v>
      </c>
      <c r="X186" s="2" t="s">
        <v>15</v>
      </c>
      <c r="Y186" s="2" t="s">
        <v>15</v>
      </c>
      <c r="Z186" s="2" t="s">
        <v>15</v>
      </c>
      <c r="AA186" s="2" t="s">
        <v>15</v>
      </c>
      <c r="AB186" s="2" t="s">
        <v>15</v>
      </c>
      <c r="AC186" s="2" t="s">
        <v>15</v>
      </c>
    </row>
    <row r="187" spans="1:29" s="66" customFormat="1" ht="54" customHeight="1" outlineLevel="1" x14ac:dyDescent="0.25">
      <c r="A187" s="70" t="s">
        <v>1</v>
      </c>
      <c r="B187" s="67" t="s">
        <v>175</v>
      </c>
      <c r="C187" s="68" t="s">
        <v>15</v>
      </c>
      <c r="D187" s="68" t="s">
        <v>15</v>
      </c>
      <c r="E187" s="68" t="s">
        <v>15</v>
      </c>
      <c r="F187" s="20">
        <f>F188+F189</f>
        <v>3470980.5</v>
      </c>
      <c r="G187" s="20">
        <f t="shared" ref="G187:Q187" si="55">G188+G189</f>
        <v>485226.09999999986</v>
      </c>
      <c r="H187" s="20">
        <f t="shared" si="55"/>
        <v>0</v>
      </c>
      <c r="I187" s="20">
        <f t="shared" si="55"/>
        <v>0</v>
      </c>
      <c r="J187" s="20">
        <f t="shared" si="55"/>
        <v>3557430.3</v>
      </c>
      <c r="K187" s="20">
        <f t="shared" si="55"/>
        <v>498853.20000000019</v>
      </c>
      <c r="L187" s="20">
        <f t="shared" si="55"/>
        <v>0</v>
      </c>
      <c r="M187" s="20">
        <f t="shared" si="55"/>
        <v>0</v>
      </c>
      <c r="N187" s="20">
        <f t="shared" si="55"/>
        <v>0</v>
      </c>
      <c r="O187" s="20">
        <f t="shared" si="55"/>
        <v>0</v>
      </c>
      <c r="P187" s="20">
        <f t="shared" si="55"/>
        <v>0</v>
      </c>
      <c r="Q187" s="20">
        <f t="shared" si="55"/>
        <v>0</v>
      </c>
      <c r="R187" s="68" t="s">
        <v>15</v>
      </c>
      <c r="S187" s="68" t="s">
        <v>15</v>
      </c>
      <c r="T187" s="68" t="s">
        <v>15</v>
      </c>
      <c r="U187" s="68" t="s">
        <v>15</v>
      </c>
      <c r="V187" s="68" t="s">
        <v>15</v>
      </c>
      <c r="W187" s="68" t="s">
        <v>15</v>
      </c>
      <c r="X187" s="68" t="s">
        <v>15</v>
      </c>
      <c r="Y187" s="68" t="s">
        <v>15</v>
      </c>
      <c r="Z187" s="68" t="s">
        <v>15</v>
      </c>
      <c r="AA187" s="68" t="s">
        <v>15</v>
      </c>
      <c r="AB187" s="68" t="s">
        <v>15</v>
      </c>
      <c r="AC187" s="68" t="s">
        <v>15</v>
      </c>
    </row>
    <row r="188" spans="1:29" s="38" customFormat="1" ht="95.25" customHeight="1" outlineLevel="2" x14ac:dyDescent="0.25">
      <c r="A188" s="90" t="s">
        <v>25</v>
      </c>
      <c r="B188" s="118" t="s">
        <v>176</v>
      </c>
      <c r="C188" s="203" t="s">
        <v>4</v>
      </c>
      <c r="D188" s="203" t="s">
        <v>591</v>
      </c>
      <c r="E188" s="203" t="s">
        <v>591</v>
      </c>
      <c r="F188" s="206">
        <v>1455678.1</v>
      </c>
      <c r="G188" s="206">
        <f>1940904.2-F188</f>
        <v>485226.09999999986</v>
      </c>
      <c r="H188" s="206">
        <v>0</v>
      </c>
      <c r="I188" s="206">
        <v>0</v>
      </c>
      <c r="J188" s="206">
        <v>1496559.4</v>
      </c>
      <c r="K188" s="206">
        <f>1995412.6-J188</f>
        <v>498853.20000000019</v>
      </c>
      <c r="L188" s="206">
        <v>0</v>
      </c>
      <c r="M188" s="206">
        <v>0</v>
      </c>
      <c r="N188" s="206">
        <v>0</v>
      </c>
      <c r="O188" s="206">
        <v>0</v>
      </c>
      <c r="P188" s="206">
        <v>0</v>
      </c>
      <c r="Q188" s="206">
        <v>0</v>
      </c>
      <c r="R188" s="82">
        <v>2023</v>
      </c>
      <c r="S188" s="82">
        <v>2024</v>
      </c>
      <c r="T188" s="82" t="s">
        <v>77</v>
      </c>
      <c r="U188" s="82" t="s">
        <v>77</v>
      </c>
      <c r="V188" s="82" t="s">
        <v>77</v>
      </c>
      <c r="W188" s="82" t="s">
        <v>77</v>
      </c>
      <c r="X188" s="82" t="s">
        <v>77</v>
      </c>
      <c r="Y188" s="82" t="s">
        <v>77</v>
      </c>
      <c r="Z188" s="82" t="s">
        <v>77</v>
      </c>
      <c r="AA188" s="82" t="s">
        <v>682</v>
      </c>
      <c r="AB188" s="203" t="s">
        <v>708</v>
      </c>
      <c r="AC188" s="82" t="s">
        <v>685</v>
      </c>
    </row>
    <row r="189" spans="1:29" s="38" customFormat="1" ht="94.5" outlineLevel="2" x14ac:dyDescent="0.25">
      <c r="A189" s="90" t="s">
        <v>78</v>
      </c>
      <c r="B189" s="118" t="s">
        <v>179</v>
      </c>
      <c r="C189" s="203" t="s">
        <v>113</v>
      </c>
      <c r="D189" s="203" t="s">
        <v>591</v>
      </c>
      <c r="E189" s="203" t="s">
        <v>591</v>
      </c>
      <c r="F189" s="206">
        <v>2015302.4</v>
      </c>
      <c r="G189" s="206">
        <v>0</v>
      </c>
      <c r="H189" s="206">
        <v>0</v>
      </c>
      <c r="I189" s="206">
        <v>0</v>
      </c>
      <c r="J189" s="206">
        <v>2060870.9</v>
      </c>
      <c r="K189" s="206">
        <v>0</v>
      </c>
      <c r="L189" s="206">
        <v>0</v>
      </c>
      <c r="M189" s="206">
        <v>0</v>
      </c>
      <c r="N189" s="206">
        <v>0</v>
      </c>
      <c r="O189" s="206">
        <v>0</v>
      </c>
      <c r="P189" s="206">
        <v>0</v>
      </c>
      <c r="Q189" s="206">
        <v>0</v>
      </c>
      <c r="R189" s="82">
        <v>2022</v>
      </c>
      <c r="S189" s="82">
        <v>2024</v>
      </c>
      <c r="T189" s="82" t="s">
        <v>77</v>
      </c>
      <c r="U189" s="82" t="s">
        <v>77</v>
      </c>
      <c r="V189" s="82" t="s">
        <v>77</v>
      </c>
      <c r="W189" s="82" t="s">
        <v>77</v>
      </c>
      <c r="X189" s="82" t="s">
        <v>77</v>
      </c>
      <c r="Y189" s="82" t="s">
        <v>77</v>
      </c>
      <c r="Z189" s="82" t="s">
        <v>77</v>
      </c>
      <c r="AA189" s="82" t="s">
        <v>682</v>
      </c>
      <c r="AB189" s="82" t="s">
        <v>709</v>
      </c>
      <c r="AC189" s="82" t="s">
        <v>684</v>
      </c>
    </row>
    <row r="190" spans="1:29" s="66" customFormat="1" ht="71.25" customHeight="1" outlineLevel="1" x14ac:dyDescent="0.25">
      <c r="A190" s="70" t="s">
        <v>8</v>
      </c>
      <c r="B190" s="67" t="s">
        <v>177</v>
      </c>
      <c r="C190" s="68" t="s">
        <v>15</v>
      </c>
      <c r="D190" s="68" t="s">
        <v>15</v>
      </c>
      <c r="E190" s="68" t="s">
        <v>15</v>
      </c>
      <c r="F190" s="20">
        <f>F191</f>
        <v>216249.1</v>
      </c>
      <c r="G190" s="20">
        <f t="shared" ref="G190:Q190" si="56">G191</f>
        <v>0</v>
      </c>
      <c r="H190" s="20">
        <f t="shared" si="56"/>
        <v>0</v>
      </c>
      <c r="I190" s="20">
        <f t="shared" si="56"/>
        <v>0</v>
      </c>
      <c r="J190" s="20">
        <f t="shared" si="56"/>
        <v>218124.9</v>
      </c>
      <c r="K190" s="20">
        <f t="shared" si="56"/>
        <v>0</v>
      </c>
      <c r="L190" s="20">
        <f t="shared" si="56"/>
        <v>0</v>
      </c>
      <c r="M190" s="20">
        <f t="shared" si="56"/>
        <v>0</v>
      </c>
      <c r="N190" s="20">
        <f t="shared" si="56"/>
        <v>0</v>
      </c>
      <c r="O190" s="20">
        <f t="shared" si="56"/>
        <v>0</v>
      </c>
      <c r="P190" s="20">
        <f t="shared" si="56"/>
        <v>0</v>
      </c>
      <c r="Q190" s="20">
        <f t="shared" si="56"/>
        <v>0</v>
      </c>
      <c r="R190" s="68" t="s">
        <v>15</v>
      </c>
      <c r="S190" s="68" t="s">
        <v>15</v>
      </c>
      <c r="T190" s="68" t="s">
        <v>15</v>
      </c>
      <c r="U190" s="68" t="s">
        <v>15</v>
      </c>
      <c r="V190" s="68" t="s">
        <v>15</v>
      </c>
      <c r="W190" s="68" t="s">
        <v>15</v>
      </c>
      <c r="X190" s="68" t="s">
        <v>15</v>
      </c>
      <c r="Y190" s="68" t="s">
        <v>15</v>
      </c>
      <c r="Z190" s="68" t="s">
        <v>15</v>
      </c>
      <c r="AA190" s="68" t="s">
        <v>15</v>
      </c>
      <c r="AB190" s="68" t="s">
        <v>15</v>
      </c>
      <c r="AC190" s="68" t="s">
        <v>15</v>
      </c>
    </row>
    <row r="191" spans="1:29" s="38" customFormat="1" ht="165.75" customHeight="1" outlineLevel="2" x14ac:dyDescent="0.25">
      <c r="A191" s="90" t="s">
        <v>48</v>
      </c>
      <c r="B191" s="118" t="s">
        <v>178</v>
      </c>
      <c r="C191" s="203" t="s">
        <v>113</v>
      </c>
      <c r="D191" s="203" t="s">
        <v>591</v>
      </c>
      <c r="E191" s="203" t="s">
        <v>591</v>
      </c>
      <c r="F191" s="206">
        <v>216249.1</v>
      </c>
      <c r="G191" s="206">
        <v>0</v>
      </c>
      <c r="H191" s="206">
        <v>0</v>
      </c>
      <c r="I191" s="206">
        <v>0</v>
      </c>
      <c r="J191" s="206">
        <v>218124.9</v>
      </c>
      <c r="K191" s="206">
        <v>0</v>
      </c>
      <c r="L191" s="206">
        <v>0</v>
      </c>
      <c r="M191" s="206">
        <v>0</v>
      </c>
      <c r="N191" s="206">
        <v>0</v>
      </c>
      <c r="O191" s="206">
        <v>0</v>
      </c>
      <c r="P191" s="206">
        <v>0</v>
      </c>
      <c r="Q191" s="206">
        <v>0</v>
      </c>
      <c r="R191" s="82">
        <v>2022</v>
      </c>
      <c r="S191" s="82">
        <v>2024</v>
      </c>
      <c r="T191" s="82" t="s">
        <v>77</v>
      </c>
      <c r="U191" s="82" t="s">
        <v>77</v>
      </c>
      <c r="V191" s="82" t="s">
        <v>77</v>
      </c>
      <c r="W191" s="82" t="s">
        <v>77</v>
      </c>
      <c r="X191" s="82" t="s">
        <v>77</v>
      </c>
      <c r="Y191" s="82" t="s">
        <v>77</v>
      </c>
      <c r="Z191" s="82" t="s">
        <v>77</v>
      </c>
      <c r="AA191" s="82" t="s">
        <v>683</v>
      </c>
      <c r="AB191" s="82" t="s">
        <v>710</v>
      </c>
      <c r="AC191" s="82" t="s">
        <v>686</v>
      </c>
    </row>
    <row r="192" spans="1:29" s="48" customFormat="1" ht="75" x14ac:dyDescent="0.3">
      <c r="A192" s="29" t="s">
        <v>42</v>
      </c>
      <c r="B192" s="30" t="s">
        <v>390</v>
      </c>
      <c r="C192" s="29" t="s">
        <v>15</v>
      </c>
      <c r="D192" s="29" t="s">
        <v>15</v>
      </c>
      <c r="E192" s="29" t="s">
        <v>15</v>
      </c>
      <c r="F192" s="26">
        <f>F193+F200+F204</f>
        <v>20823086.699999999</v>
      </c>
      <c r="G192" s="26">
        <f t="shared" ref="G192:Q192" si="57">G193+G200+G204</f>
        <v>5244409.8</v>
      </c>
      <c r="H192" s="26">
        <f t="shared" si="57"/>
        <v>0</v>
      </c>
      <c r="I192" s="26">
        <f t="shared" si="57"/>
        <v>0</v>
      </c>
      <c r="J192" s="26">
        <f t="shared" si="57"/>
        <v>21423921.5</v>
      </c>
      <c r="K192" s="26">
        <f t="shared" si="57"/>
        <v>5381176.4000000004</v>
      </c>
      <c r="L192" s="26">
        <f t="shared" si="57"/>
        <v>0</v>
      </c>
      <c r="M192" s="26">
        <f t="shared" si="57"/>
        <v>0</v>
      </c>
      <c r="N192" s="26">
        <f t="shared" si="57"/>
        <v>19791875.400000002</v>
      </c>
      <c r="O192" s="26">
        <f t="shared" si="57"/>
        <v>5185282.5</v>
      </c>
      <c r="P192" s="26">
        <f t="shared" si="57"/>
        <v>0</v>
      </c>
      <c r="Q192" s="26">
        <f t="shared" si="57"/>
        <v>0</v>
      </c>
      <c r="R192" s="29" t="s">
        <v>15</v>
      </c>
      <c r="S192" s="29" t="s">
        <v>15</v>
      </c>
      <c r="T192" s="29" t="s">
        <v>15</v>
      </c>
      <c r="U192" s="29" t="s">
        <v>15</v>
      </c>
      <c r="V192" s="29" t="s">
        <v>15</v>
      </c>
      <c r="W192" s="29" t="s">
        <v>15</v>
      </c>
      <c r="X192" s="29" t="s">
        <v>15</v>
      </c>
      <c r="Y192" s="29" t="s">
        <v>15</v>
      </c>
      <c r="Z192" s="29" t="s">
        <v>15</v>
      </c>
      <c r="AA192" s="29" t="s">
        <v>15</v>
      </c>
      <c r="AB192" s="29" t="s">
        <v>15</v>
      </c>
      <c r="AC192" s="29" t="s">
        <v>15</v>
      </c>
    </row>
    <row r="193" spans="1:29" s="18" customFormat="1" ht="42" customHeight="1" x14ac:dyDescent="0.25">
      <c r="A193" s="39" t="s">
        <v>2</v>
      </c>
      <c r="B193" s="55" t="s">
        <v>75</v>
      </c>
      <c r="C193" s="39" t="s">
        <v>15</v>
      </c>
      <c r="D193" s="39" t="s">
        <v>15</v>
      </c>
      <c r="E193" s="39" t="s">
        <v>15</v>
      </c>
      <c r="F193" s="11">
        <f>F194+F197</f>
        <v>6231850.9000000004</v>
      </c>
      <c r="G193" s="11">
        <f t="shared" ref="G193:Q193" si="58">G194+G197</f>
        <v>800340.2</v>
      </c>
      <c r="H193" s="11">
        <f t="shared" si="58"/>
        <v>0</v>
      </c>
      <c r="I193" s="11">
        <f t="shared" si="58"/>
        <v>0</v>
      </c>
      <c r="J193" s="11">
        <f t="shared" si="58"/>
        <v>6443562.1000000006</v>
      </c>
      <c r="K193" s="11">
        <f t="shared" si="58"/>
        <v>809161.4</v>
      </c>
      <c r="L193" s="11">
        <f t="shared" si="58"/>
        <v>0</v>
      </c>
      <c r="M193" s="11">
        <f t="shared" si="58"/>
        <v>0</v>
      </c>
      <c r="N193" s="11">
        <f t="shared" si="58"/>
        <v>6694829.2000000002</v>
      </c>
      <c r="O193" s="11">
        <f t="shared" si="58"/>
        <v>819630.9</v>
      </c>
      <c r="P193" s="11">
        <f t="shared" si="58"/>
        <v>0</v>
      </c>
      <c r="Q193" s="11">
        <f t="shared" si="58"/>
        <v>0</v>
      </c>
      <c r="R193" s="39" t="s">
        <v>15</v>
      </c>
      <c r="S193" s="39" t="s">
        <v>15</v>
      </c>
      <c r="T193" s="39" t="s">
        <v>15</v>
      </c>
      <c r="U193" s="39" t="s">
        <v>15</v>
      </c>
      <c r="V193" s="39" t="s">
        <v>15</v>
      </c>
      <c r="W193" s="39" t="s">
        <v>15</v>
      </c>
      <c r="X193" s="39" t="s">
        <v>15</v>
      </c>
      <c r="Y193" s="39" t="s">
        <v>15</v>
      </c>
      <c r="Z193" s="39" t="s">
        <v>15</v>
      </c>
      <c r="AA193" s="39" t="s">
        <v>15</v>
      </c>
      <c r="AB193" s="39" t="s">
        <v>15</v>
      </c>
      <c r="AC193" s="39" t="s">
        <v>15</v>
      </c>
    </row>
    <row r="194" spans="1:29" s="19" customFormat="1" ht="72.75" customHeight="1" x14ac:dyDescent="0.25">
      <c r="A194" s="2" t="s">
        <v>1</v>
      </c>
      <c r="B194" s="4" t="s">
        <v>264</v>
      </c>
      <c r="C194" s="2" t="s">
        <v>15</v>
      </c>
      <c r="D194" s="2" t="s">
        <v>15</v>
      </c>
      <c r="E194" s="2" t="s">
        <v>15</v>
      </c>
      <c r="F194" s="8">
        <f>F195+F196</f>
        <v>6106147.4000000004</v>
      </c>
      <c r="G194" s="8">
        <f t="shared" ref="G194:Q194" si="59">G195+G196</f>
        <v>795102.5</v>
      </c>
      <c r="H194" s="8">
        <f t="shared" si="59"/>
        <v>0</v>
      </c>
      <c r="I194" s="8">
        <f t="shared" si="59"/>
        <v>0</v>
      </c>
      <c r="J194" s="8">
        <f t="shared" si="59"/>
        <v>6106147.4000000004</v>
      </c>
      <c r="K194" s="8">
        <f t="shared" si="59"/>
        <v>795102.5</v>
      </c>
      <c r="L194" s="8">
        <f t="shared" si="59"/>
        <v>0</v>
      </c>
      <c r="M194" s="8">
        <f t="shared" si="59"/>
        <v>0</v>
      </c>
      <c r="N194" s="8">
        <f t="shared" si="59"/>
        <v>6106147.4000000004</v>
      </c>
      <c r="O194" s="8">
        <f t="shared" si="59"/>
        <v>795102.5</v>
      </c>
      <c r="P194" s="8">
        <f t="shared" si="59"/>
        <v>0</v>
      </c>
      <c r="Q194" s="8">
        <f t="shared" si="59"/>
        <v>0</v>
      </c>
      <c r="R194" s="2" t="s">
        <v>15</v>
      </c>
      <c r="S194" s="2" t="s">
        <v>15</v>
      </c>
      <c r="T194" s="2" t="s">
        <v>15</v>
      </c>
      <c r="U194" s="2" t="s">
        <v>15</v>
      </c>
      <c r="V194" s="2" t="s">
        <v>15</v>
      </c>
      <c r="W194" s="2" t="s">
        <v>15</v>
      </c>
      <c r="X194" s="2" t="s">
        <v>15</v>
      </c>
      <c r="Y194" s="2" t="s">
        <v>15</v>
      </c>
      <c r="Z194" s="2" t="s">
        <v>15</v>
      </c>
      <c r="AA194" s="2" t="s">
        <v>15</v>
      </c>
      <c r="AB194" s="2" t="s">
        <v>15</v>
      </c>
      <c r="AC194" s="2" t="s">
        <v>15</v>
      </c>
    </row>
    <row r="195" spans="1:29" s="38" customFormat="1" ht="126" x14ac:dyDescent="0.25">
      <c r="A195" s="117" t="s">
        <v>25</v>
      </c>
      <c r="B195" s="96" t="s">
        <v>76</v>
      </c>
      <c r="C195" s="82" t="s">
        <v>39</v>
      </c>
      <c r="D195" s="82" t="s">
        <v>371</v>
      </c>
      <c r="E195" s="82" t="s">
        <v>371</v>
      </c>
      <c r="F195" s="83">
        <v>3720839.9</v>
      </c>
      <c r="G195" s="83">
        <v>0</v>
      </c>
      <c r="H195" s="83">
        <v>0</v>
      </c>
      <c r="I195" s="83">
        <v>0</v>
      </c>
      <c r="J195" s="83">
        <v>3720839.9</v>
      </c>
      <c r="K195" s="83">
        <v>0</v>
      </c>
      <c r="L195" s="83">
        <v>0</v>
      </c>
      <c r="M195" s="83">
        <v>0</v>
      </c>
      <c r="N195" s="83">
        <v>3720839.9</v>
      </c>
      <c r="O195" s="83">
        <v>0</v>
      </c>
      <c r="P195" s="83">
        <v>0</v>
      </c>
      <c r="Q195" s="83">
        <v>0</v>
      </c>
      <c r="R195" s="82" t="s">
        <v>15</v>
      </c>
      <c r="S195" s="82" t="s">
        <v>15</v>
      </c>
      <c r="T195" s="82" t="s">
        <v>15</v>
      </c>
      <c r="U195" s="82" t="s">
        <v>15</v>
      </c>
      <c r="V195" s="82" t="s">
        <v>15</v>
      </c>
      <c r="W195" s="82" t="s">
        <v>15</v>
      </c>
      <c r="X195" s="82" t="s">
        <v>15</v>
      </c>
      <c r="Y195" s="82" t="s">
        <v>15</v>
      </c>
      <c r="Z195" s="82" t="s">
        <v>15</v>
      </c>
      <c r="AA195" s="82" t="s">
        <v>1072</v>
      </c>
      <c r="AB195" s="203" t="s">
        <v>936</v>
      </c>
      <c r="AC195" s="203" t="s">
        <v>372</v>
      </c>
    </row>
    <row r="196" spans="1:29" s="3" customFormat="1" ht="135" customHeight="1" x14ac:dyDescent="0.25">
      <c r="A196" s="208" t="s">
        <v>78</v>
      </c>
      <c r="B196" s="173" t="s">
        <v>79</v>
      </c>
      <c r="C196" s="208" t="s">
        <v>4</v>
      </c>
      <c r="D196" s="208" t="s">
        <v>371</v>
      </c>
      <c r="E196" s="208" t="s">
        <v>371</v>
      </c>
      <c r="F196" s="140">
        <v>2385307.5</v>
      </c>
      <c r="G196" s="140">
        <v>795102.5</v>
      </c>
      <c r="H196" s="140">
        <v>0</v>
      </c>
      <c r="I196" s="140">
        <v>0</v>
      </c>
      <c r="J196" s="140">
        <v>2385307.5</v>
      </c>
      <c r="K196" s="140">
        <v>795102.5</v>
      </c>
      <c r="L196" s="140">
        <v>0</v>
      </c>
      <c r="M196" s="140">
        <v>0</v>
      </c>
      <c r="N196" s="140">
        <v>2385307.5</v>
      </c>
      <c r="O196" s="140">
        <v>795102.5</v>
      </c>
      <c r="P196" s="140">
        <v>0</v>
      </c>
      <c r="Q196" s="140">
        <v>0</v>
      </c>
      <c r="R196" s="208" t="s">
        <v>15</v>
      </c>
      <c r="S196" s="208" t="s">
        <v>15</v>
      </c>
      <c r="T196" s="208" t="s">
        <v>15</v>
      </c>
      <c r="U196" s="208" t="s">
        <v>15</v>
      </c>
      <c r="V196" s="208" t="s">
        <v>15</v>
      </c>
      <c r="W196" s="208" t="s">
        <v>15</v>
      </c>
      <c r="X196" s="208" t="s">
        <v>15</v>
      </c>
      <c r="Y196" s="208" t="s">
        <v>15</v>
      </c>
      <c r="Z196" s="208" t="s">
        <v>15</v>
      </c>
      <c r="AA196" s="208" t="s">
        <v>1071</v>
      </c>
      <c r="AB196" s="205" t="s">
        <v>711</v>
      </c>
      <c r="AC196" s="205" t="s">
        <v>77</v>
      </c>
    </row>
    <row r="197" spans="1:29" s="19" customFormat="1" ht="49.5" customHeight="1" x14ac:dyDescent="0.25">
      <c r="A197" s="2" t="s">
        <v>8</v>
      </c>
      <c r="B197" s="4" t="s">
        <v>257</v>
      </c>
      <c r="C197" s="2" t="s">
        <v>15</v>
      </c>
      <c r="D197" s="2" t="s">
        <v>15</v>
      </c>
      <c r="E197" s="2" t="s">
        <v>15</v>
      </c>
      <c r="F197" s="8">
        <f>F198</f>
        <v>125703.5</v>
      </c>
      <c r="G197" s="8">
        <f t="shared" ref="G197:Q197" si="60">G198</f>
        <v>5237.7</v>
      </c>
      <c r="H197" s="8">
        <f t="shared" si="60"/>
        <v>0</v>
      </c>
      <c r="I197" s="8">
        <f t="shared" si="60"/>
        <v>0</v>
      </c>
      <c r="J197" s="8">
        <f t="shared" si="60"/>
        <v>337414.7</v>
      </c>
      <c r="K197" s="8">
        <f t="shared" si="60"/>
        <v>14058.9</v>
      </c>
      <c r="L197" s="8">
        <f t="shared" si="60"/>
        <v>0</v>
      </c>
      <c r="M197" s="8">
        <f t="shared" si="60"/>
        <v>0</v>
      </c>
      <c r="N197" s="8">
        <f t="shared" si="60"/>
        <v>588681.80000000005</v>
      </c>
      <c r="O197" s="8">
        <f t="shared" si="60"/>
        <v>24528.400000000001</v>
      </c>
      <c r="P197" s="8">
        <f t="shared" si="60"/>
        <v>0</v>
      </c>
      <c r="Q197" s="8">
        <f t="shared" si="60"/>
        <v>0</v>
      </c>
      <c r="R197" s="2" t="s">
        <v>15</v>
      </c>
      <c r="S197" s="2" t="s">
        <v>15</v>
      </c>
      <c r="T197" s="2" t="s">
        <v>15</v>
      </c>
      <c r="U197" s="2" t="s">
        <v>15</v>
      </c>
      <c r="V197" s="2" t="s">
        <v>15</v>
      </c>
      <c r="W197" s="2" t="s">
        <v>15</v>
      </c>
      <c r="X197" s="2" t="s">
        <v>15</v>
      </c>
      <c r="Y197" s="2" t="s">
        <v>15</v>
      </c>
      <c r="Z197" s="2" t="s">
        <v>15</v>
      </c>
      <c r="AA197" s="2" t="s">
        <v>15</v>
      </c>
      <c r="AB197" s="2" t="s">
        <v>15</v>
      </c>
      <c r="AC197" s="2" t="s">
        <v>15</v>
      </c>
    </row>
    <row r="198" spans="1:29" s="38" customFormat="1" ht="78.75" x14ac:dyDescent="0.25">
      <c r="A198" s="82" t="s">
        <v>48</v>
      </c>
      <c r="B198" s="96" t="s">
        <v>80</v>
      </c>
      <c r="C198" s="116" t="s">
        <v>15</v>
      </c>
      <c r="D198" s="116" t="s">
        <v>15</v>
      </c>
      <c r="E198" s="116" t="s">
        <v>15</v>
      </c>
      <c r="F198" s="206">
        <f>F199</f>
        <v>125703.5</v>
      </c>
      <c r="G198" s="206">
        <f t="shared" ref="G198:O198" si="61">G199</f>
        <v>5237.7</v>
      </c>
      <c r="H198" s="206">
        <f t="shared" si="61"/>
        <v>0</v>
      </c>
      <c r="I198" s="206">
        <f t="shared" si="61"/>
        <v>0</v>
      </c>
      <c r="J198" s="206">
        <f t="shared" si="61"/>
        <v>337414.7</v>
      </c>
      <c r="K198" s="206">
        <f t="shared" si="61"/>
        <v>14058.9</v>
      </c>
      <c r="L198" s="206">
        <f t="shared" si="61"/>
        <v>0</v>
      </c>
      <c r="M198" s="206">
        <f t="shared" si="61"/>
        <v>0</v>
      </c>
      <c r="N198" s="206">
        <f t="shared" si="61"/>
        <v>588681.80000000005</v>
      </c>
      <c r="O198" s="206">
        <f t="shared" si="61"/>
        <v>24528.400000000001</v>
      </c>
      <c r="P198" s="206">
        <f t="shared" ref="P198:Q198" si="62">P199</f>
        <v>0</v>
      </c>
      <c r="Q198" s="206">
        <f t="shared" si="62"/>
        <v>0</v>
      </c>
      <c r="R198" s="116" t="s">
        <v>15</v>
      </c>
      <c r="S198" s="116" t="s">
        <v>15</v>
      </c>
      <c r="T198" s="116" t="s">
        <v>15</v>
      </c>
      <c r="U198" s="116" t="s">
        <v>15</v>
      </c>
      <c r="V198" s="116" t="s">
        <v>15</v>
      </c>
      <c r="W198" s="116" t="s">
        <v>15</v>
      </c>
      <c r="X198" s="116" t="s">
        <v>15</v>
      </c>
      <c r="Y198" s="116" t="s">
        <v>15</v>
      </c>
      <c r="Z198" s="116" t="s">
        <v>15</v>
      </c>
      <c r="AA198" s="116" t="s">
        <v>15</v>
      </c>
      <c r="AB198" s="116" t="s">
        <v>15</v>
      </c>
      <c r="AC198" s="116" t="s">
        <v>15</v>
      </c>
    </row>
    <row r="199" spans="1:29" s="21" customFormat="1" ht="83.25" customHeight="1" x14ac:dyDescent="0.25">
      <c r="A199" s="208" t="s">
        <v>289</v>
      </c>
      <c r="B199" s="173" t="s">
        <v>1173</v>
      </c>
      <c r="C199" s="208" t="s">
        <v>4</v>
      </c>
      <c r="D199" s="208" t="s">
        <v>371</v>
      </c>
      <c r="E199" s="208" t="s">
        <v>377</v>
      </c>
      <c r="F199" s="140">
        <v>125703.5</v>
      </c>
      <c r="G199" s="140">
        <v>5237.7</v>
      </c>
      <c r="H199" s="140">
        <v>0</v>
      </c>
      <c r="I199" s="140">
        <v>0</v>
      </c>
      <c r="J199" s="140">
        <v>337414.7</v>
      </c>
      <c r="K199" s="140">
        <v>14058.9</v>
      </c>
      <c r="L199" s="140">
        <v>0</v>
      </c>
      <c r="M199" s="140">
        <v>0</v>
      </c>
      <c r="N199" s="140">
        <v>588681.80000000005</v>
      </c>
      <c r="O199" s="140">
        <v>24528.400000000001</v>
      </c>
      <c r="P199" s="140">
        <v>0</v>
      </c>
      <c r="Q199" s="140">
        <v>0</v>
      </c>
      <c r="R199" s="208" t="s">
        <v>374</v>
      </c>
      <c r="S199" s="208" t="s">
        <v>1073</v>
      </c>
      <c r="T199" s="208" t="s">
        <v>379</v>
      </c>
      <c r="U199" s="208" t="s">
        <v>375</v>
      </c>
      <c r="V199" s="208" t="s">
        <v>380</v>
      </c>
      <c r="W199" s="208" t="s">
        <v>380</v>
      </c>
      <c r="X199" s="208" t="s">
        <v>380</v>
      </c>
      <c r="Y199" s="208" t="s">
        <v>1073</v>
      </c>
      <c r="Z199" s="197">
        <v>1108170.8500000001</v>
      </c>
      <c r="AA199" s="205" t="s">
        <v>378</v>
      </c>
      <c r="AB199" s="205" t="s">
        <v>316</v>
      </c>
      <c r="AC199" s="205" t="s">
        <v>376</v>
      </c>
    </row>
    <row r="200" spans="1:29" s="19" customFormat="1" ht="96" customHeight="1" x14ac:dyDescent="0.25">
      <c r="A200" s="2" t="s">
        <v>29</v>
      </c>
      <c r="B200" s="4" t="s">
        <v>102</v>
      </c>
      <c r="C200" s="2" t="s">
        <v>15</v>
      </c>
      <c r="D200" s="2" t="s">
        <v>15</v>
      </c>
      <c r="E200" s="2" t="s">
        <v>15</v>
      </c>
      <c r="F200" s="8">
        <f>F201+F202+F203</f>
        <v>13323208.799999999</v>
      </c>
      <c r="G200" s="8">
        <f t="shared" ref="G200:Q200" si="63">G201+G202+G203</f>
        <v>4444069.5999999996</v>
      </c>
      <c r="H200" s="8">
        <f t="shared" si="63"/>
        <v>0</v>
      </c>
      <c r="I200" s="8">
        <f t="shared" si="63"/>
        <v>0</v>
      </c>
      <c r="J200" s="8">
        <f t="shared" si="63"/>
        <v>13707045</v>
      </c>
      <c r="K200" s="8">
        <f t="shared" si="63"/>
        <v>4572015</v>
      </c>
      <c r="L200" s="8">
        <f t="shared" si="63"/>
        <v>0</v>
      </c>
      <c r="M200" s="8">
        <f t="shared" si="63"/>
        <v>0</v>
      </c>
      <c r="N200" s="8">
        <f t="shared" si="63"/>
        <v>13096954.9</v>
      </c>
      <c r="O200" s="8">
        <f t="shared" si="63"/>
        <v>4365651.5999999996</v>
      </c>
      <c r="P200" s="8">
        <f t="shared" si="63"/>
        <v>0</v>
      </c>
      <c r="Q200" s="8">
        <f t="shared" si="63"/>
        <v>0</v>
      </c>
      <c r="R200" s="2" t="s">
        <v>15</v>
      </c>
      <c r="S200" s="2" t="s">
        <v>15</v>
      </c>
      <c r="T200" s="2" t="s">
        <v>15</v>
      </c>
      <c r="U200" s="2" t="s">
        <v>15</v>
      </c>
      <c r="V200" s="2" t="s">
        <v>15</v>
      </c>
      <c r="W200" s="2" t="s">
        <v>15</v>
      </c>
      <c r="X200" s="2" t="s">
        <v>15</v>
      </c>
      <c r="Y200" s="2" t="s">
        <v>15</v>
      </c>
      <c r="Z200" s="2" t="s">
        <v>15</v>
      </c>
      <c r="AA200" s="2" t="s">
        <v>15</v>
      </c>
      <c r="AB200" s="2" t="s">
        <v>15</v>
      </c>
      <c r="AC200" s="2" t="s">
        <v>15</v>
      </c>
    </row>
    <row r="201" spans="1:29" s="3" customFormat="1" ht="114" customHeight="1" x14ac:dyDescent="0.25">
      <c r="A201" s="208" t="s">
        <v>50</v>
      </c>
      <c r="B201" s="172" t="s">
        <v>731</v>
      </c>
      <c r="C201" s="208" t="s">
        <v>4</v>
      </c>
      <c r="D201" s="208" t="s">
        <v>371</v>
      </c>
      <c r="E201" s="208" t="s">
        <v>371</v>
      </c>
      <c r="F201" s="140">
        <v>7878129</v>
      </c>
      <c r="G201" s="140">
        <v>2626043</v>
      </c>
      <c r="H201" s="140">
        <v>0</v>
      </c>
      <c r="I201" s="140">
        <v>0</v>
      </c>
      <c r="J201" s="140">
        <v>7878129</v>
      </c>
      <c r="K201" s="140">
        <v>2626043</v>
      </c>
      <c r="L201" s="140">
        <v>0</v>
      </c>
      <c r="M201" s="140">
        <v>0</v>
      </c>
      <c r="N201" s="140">
        <v>7878129</v>
      </c>
      <c r="O201" s="140">
        <v>2626043</v>
      </c>
      <c r="P201" s="140">
        <v>0</v>
      </c>
      <c r="Q201" s="140">
        <v>0</v>
      </c>
      <c r="R201" s="207" t="s">
        <v>15</v>
      </c>
      <c r="S201" s="207" t="s">
        <v>15</v>
      </c>
      <c r="T201" s="207" t="s">
        <v>15</v>
      </c>
      <c r="U201" s="207" t="s">
        <v>15</v>
      </c>
      <c r="V201" s="207" t="s">
        <v>15</v>
      </c>
      <c r="W201" s="207" t="s">
        <v>15</v>
      </c>
      <c r="X201" s="207" t="s">
        <v>15</v>
      </c>
      <c r="Y201" s="207" t="s">
        <v>15</v>
      </c>
      <c r="Z201" s="207" t="s">
        <v>15</v>
      </c>
      <c r="AA201" s="208" t="s">
        <v>1074</v>
      </c>
      <c r="AB201" s="205" t="s">
        <v>317</v>
      </c>
      <c r="AC201" s="205" t="s">
        <v>77</v>
      </c>
    </row>
    <row r="202" spans="1:29" s="3" customFormat="1" ht="166.5" customHeight="1" x14ac:dyDescent="0.25">
      <c r="A202" s="208" t="s">
        <v>73</v>
      </c>
      <c r="B202" s="172" t="s">
        <v>81</v>
      </c>
      <c r="C202" s="208" t="s">
        <v>4</v>
      </c>
      <c r="D202" s="208" t="s">
        <v>371</v>
      </c>
      <c r="E202" s="208" t="s">
        <v>371</v>
      </c>
      <c r="F202" s="140">
        <v>4717693.5999999996</v>
      </c>
      <c r="G202" s="140">
        <v>1572564.5</v>
      </c>
      <c r="H202" s="140">
        <v>0</v>
      </c>
      <c r="I202" s="140">
        <v>0</v>
      </c>
      <c r="J202" s="140">
        <v>5082911.4000000004</v>
      </c>
      <c r="K202" s="140">
        <v>1694303.8</v>
      </c>
      <c r="L202" s="140">
        <v>0</v>
      </c>
      <c r="M202" s="140">
        <v>0</v>
      </c>
      <c r="N202" s="140">
        <v>5218825.9000000004</v>
      </c>
      <c r="O202" s="140">
        <v>1739608.6</v>
      </c>
      <c r="P202" s="140">
        <v>0</v>
      </c>
      <c r="Q202" s="140">
        <v>0</v>
      </c>
      <c r="R202" s="208" t="s">
        <v>77</v>
      </c>
      <c r="S202" s="208" t="s">
        <v>77</v>
      </c>
      <c r="T202" s="208" t="s">
        <v>77</v>
      </c>
      <c r="U202" s="208" t="s">
        <v>77</v>
      </c>
      <c r="V202" s="208" t="s">
        <v>77</v>
      </c>
      <c r="W202" s="208" t="s">
        <v>77</v>
      </c>
      <c r="X202" s="208" t="s">
        <v>77</v>
      </c>
      <c r="Y202" s="208" t="s">
        <v>77</v>
      </c>
      <c r="Z202" s="208" t="s">
        <v>77</v>
      </c>
      <c r="AA202" s="208" t="s">
        <v>1158</v>
      </c>
      <c r="AB202" s="208" t="s">
        <v>937</v>
      </c>
      <c r="AC202" s="208" t="s">
        <v>372</v>
      </c>
    </row>
    <row r="203" spans="1:29" s="38" customFormat="1" ht="81.75" customHeight="1" x14ac:dyDescent="0.25">
      <c r="A203" s="82" t="s">
        <v>290</v>
      </c>
      <c r="B203" s="87" t="s">
        <v>82</v>
      </c>
      <c r="C203" s="82" t="s">
        <v>4</v>
      </c>
      <c r="D203" s="82" t="s">
        <v>371</v>
      </c>
      <c r="E203" s="82" t="s">
        <v>371</v>
      </c>
      <c r="F203" s="83">
        <v>727386.2</v>
      </c>
      <c r="G203" s="83">
        <v>245462.1</v>
      </c>
      <c r="H203" s="83">
        <v>0</v>
      </c>
      <c r="I203" s="83">
        <v>0</v>
      </c>
      <c r="J203" s="83">
        <v>746004.6</v>
      </c>
      <c r="K203" s="83">
        <v>251668.2</v>
      </c>
      <c r="L203" s="83">
        <v>0</v>
      </c>
      <c r="M203" s="83">
        <v>0</v>
      </c>
      <c r="N203" s="83">
        <v>0</v>
      </c>
      <c r="O203" s="83">
        <v>0</v>
      </c>
      <c r="P203" s="83">
        <v>0</v>
      </c>
      <c r="Q203" s="83">
        <v>0</v>
      </c>
      <c r="R203" s="116" t="s">
        <v>15</v>
      </c>
      <c r="S203" s="116" t="s">
        <v>15</v>
      </c>
      <c r="T203" s="116" t="s">
        <v>15</v>
      </c>
      <c r="U203" s="116" t="s">
        <v>15</v>
      </c>
      <c r="V203" s="116" t="s">
        <v>15</v>
      </c>
      <c r="W203" s="116" t="s">
        <v>15</v>
      </c>
      <c r="X203" s="116" t="s">
        <v>15</v>
      </c>
      <c r="Y203" s="116" t="s">
        <v>15</v>
      </c>
      <c r="Z203" s="116" t="s">
        <v>15</v>
      </c>
      <c r="AA203" s="82" t="s">
        <v>561</v>
      </c>
      <c r="AB203" s="203" t="s">
        <v>381</v>
      </c>
      <c r="AC203" s="203" t="s">
        <v>77</v>
      </c>
    </row>
    <row r="204" spans="1:29" s="22" customFormat="1" ht="54.75" customHeight="1" x14ac:dyDescent="0.25">
      <c r="A204" s="2" t="s">
        <v>5</v>
      </c>
      <c r="B204" s="4" t="s">
        <v>31</v>
      </c>
      <c r="C204" s="2" t="s">
        <v>15</v>
      </c>
      <c r="D204" s="2" t="s">
        <v>15</v>
      </c>
      <c r="E204" s="2" t="s">
        <v>15</v>
      </c>
      <c r="F204" s="8">
        <f>F205</f>
        <v>1268027</v>
      </c>
      <c r="G204" s="8">
        <f t="shared" ref="G204:Q204" si="64">G205</f>
        <v>0</v>
      </c>
      <c r="H204" s="8">
        <f t="shared" si="64"/>
        <v>0</v>
      </c>
      <c r="I204" s="8">
        <f t="shared" si="64"/>
        <v>0</v>
      </c>
      <c r="J204" s="8">
        <f t="shared" si="64"/>
        <v>1273314.3999999999</v>
      </c>
      <c r="K204" s="8">
        <f t="shared" si="64"/>
        <v>0</v>
      </c>
      <c r="L204" s="8">
        <f t="shared" si="64"/>
        <v>0</v>
      </c>
      <c r="M204" s="8">
        <f t="shared" si="64"/>
        <v>0</v>
      </c>
      <c r="N204" s="8">
        <f t="shared" si="64"/>
        <v>91.3</v>
      </c>
      <c r="O204" s="8">
        <f t="shared" si="64"/>
        <v>0</v>
      </c>
      <c r="P204" s="8">
        <f t="shared" si="64"/>
        <v>0</v>
      </c>
      <c r="Q204" s="8">
        <f t="shared" si="64"/>
        <v>0</v>
      </c>
      <c r="R204" s="2" t="s">
        <v>15</v>
      </c>
      <c r="S204" s="2" t="s">
        <v>15</v>
      </c>
      <c r="T204" s="2" t="s">
        <v>15</v>
      </c>
      <c r="U204" s="2" t="s">
        <v>15</v>
      </c>
      <c r="V204" s="2" t="s">
        <v>15</v>
      </c>
      <c r="W204" s="2" t="s">
        <v>15</v>
      </c>
      <c r="X204" s="2" t="s">
        <v>15</v>
      </c>
      <c r="Y204" s="2" t="s">
        <v>15</v>
      </c>
      <c r="Z204" s="2" t="s">
        <v>15</v>
      </c>
      <c r="AA204" s="2" t="s">
        <v>15</v>
      </c>
      <c r="AB204" s="2" t="s">
        <v>15</v>
      </c>
      <c r="AC204" s="2" t="s">
        <v>15</v>
      </c>
    </row>
    <row r="205" spans="1:29" s="37" customFormat="1" ht="54.75" customHeight="1" x14ac:dyDescent="0.25">
      <c r="A205" s="13" t="s">
        <v>1</v>
      </c>
      <c r="B205" s="35" t="s">
        <v>83</v>
      </c>
      <c r="C205" s="13" t="s">
        <v>15</v>
      </c>
      <c r="D205" s="13" t="s">
        <v>15</v>
      </c>
      <c r="E205" s="13" t="s">
        <v>15</v>
      </c>
      <c r="F205" s="20">
        <f>F206+F207+F208</f>
        <v>1268027</v>
      </c>
      <c r="G205" s="20">
        <f t="shared" ref="G205:Q205" si="65">G206+G207+G208</f>
        <v>0</v>
      </c>
      <c r="H205" s="20">
        <f t="shared" si="65"/>
        <v>0</v>
      </c>
      <c r="I205" s="20">
        <f t="shared" si="65"/>
        <v>0</v>
      </c>
      <c r="J205" s="20">
        <f t="shared" si="65"/>
        <v>1273314.3999999999</v>
      </c>
      <c r="K205" s="20">
        <f t="shared" si="65"/>
        <v>0</v>
      </c>
      <c r="L205" s="20">
        <f t="shared" si="65"/>
        <v>0</v>
      </c>
      <c r="M205" s="20">
        <f t="shared" si="65"/>
        <v>0</v>
      </c>
      <c r="N205" s="20">
        <f t="shared" si="65"/>
        <v>91.3</v>
      </c>
      <c r="O205" s="20">
        <f t="shared" si="65"/>
        <v>0</v>
      </c>
      <c r="P205" s="20">
        <f t="shared" si="65"/>
        <v>0</v>
      </c>
      <c r="Q205" s="20">
        <f t="shared" si="65"/>
        <v>0</v>
      </c>
      <c r="R205" s="13" t="s">
        <v>15</v>
      </c>
      <c r="S205" s="13" t="s">
        <v>15</v>
      </c>
      <c r="T205" s="13" t="s">
        <v>15</v>
      </c>
      <c r="U205" s="13" t="s">
        <v>15</v>
      </c>
      <c r="V205" s="13" t="s">
        <v>15</v>
      </c>
      <c r="W205" s="13" t="s">
        <v>15</v>
      </c>
      <c r="X205" s="13" t="s">
        <v>15</v>
      </c>
      <c r="Y205" s="13" t="s">
        <v>15</v>
      </c>
      <c r="Z205" s="13" t="s">
        <v>15</v>
      </c>
      <c r="AA205" s="13" t="s">
        <v>15</v>
      </c>
      <c r="AB205" s="13" t="s">
        <v>15</v>
      </c>
      <c r="AC205" s="13" t="s">
        <v>15</v>
      </c>
    </row>
    <row r="206" spans="1:29" s="38" customFormat="1" ht="84.75" customHeight="1" x14ac:dyDescent="0.25">
      <c r="A206" s="82" t="s">
        <v>25</v>
      </c>
      <c r="B206" s="87" t="s">
        <v>84</v>
      </c>
      <c r="C206" s="82" t="s">
        <v>39</v>
      </c>
      <c r="D206" s="204" t="s">
        <v>371</v>
      </c>
      <c r="E206" s="204" t="s">
        <v>371</v>
      </c>
      <c r="F206" s="83">
        <v>132068.79999999999</v>
      </c>
      <c r="G206" s="83">
        <v>0</v>
      </c>
      <c r="H206" s="83">
        <v>0</v>
      </c>
      <c r="I206" s="83">
        <v>0</v>
      </c>
      <c r="J206" s="83">
        <v>137353.20000000001</v>
      </c>
      <c r="K206" s="83">
        <v>0</v>
      </c>
      <c r="L206" s="83">
        <v>0</v>
      </c>
      <c r="M206" s="83">
        <v>0</v>
      </c>
      <c r="N206" s="83">
        <v>0</v>
      </c>
      <c r="O206" s="83">
        <v>0</v>
      </c>
      <c r="P206" s="83">
        <v>0</v>
      </c>
      <c r="Q206" s="83">
        <v>0</v>
      </c>
      <c r="R206" s="116" t="s">
        <v>15</v>
      </c>
      <c r="S206" s="116" t="s">
        <v>15</v>
      </c>
      <c r="T206" s="116" t="s">
        <v>15</v>
      </c>
      <c r="U206" s="116" t="s">
        <v>15</v>
      </c>
      <c r="V206" s="116" t="s">
        <v>15</v>
      </c>
      <c r="W206" s="116" t="s">
        <v>15</v>
      </c>
      <c r="X206" s="116" t="s">
        <v>15</v>
      </c>
      <c r="Y206" s="116" t="s">
        <v>15</v>
      </c>
      <c r="Z206" s="116" t="s">
        <v>15</v>
      </c>
      <c r="AA206" s="82" t="s">
        <v>373</v>
      </c>
      <c r="AB206" s="82" t="s">
        <v>382</v>
      </c>
      <c r="AC206" s="82" t="s">
        <v>77</v>
      </c>
    </row>
    <row r="207" spans="1:29" s="38" customFormat="1" ht="121.5" customHeight="1" x14ac:dyDescent="0.25">
      <c r="A207" s="82" t="s">
        <v>78</v>
      </c>
      <c r="B207" s="87" t="s">
        <v>85</v>
      </c>
      <c r="C207" s="82" t="s">
        <v>39</v>
      </c>
      <c r="D207" s="204" t="s">
        <v>371</v>
      </c>
      <c r="E207" s="204" t="s">
        <v>371</v>
      </c>
      <c r="F207" s="206">
        <v>85.2</v>
      </c>
      <c r="G207" s="83">
        <v>0</v>
      </c>
      <c r="H207" s="83">
        <v>0</v>
      </c>
      <c r="I207" s="83">
        <v>0</v>
      </c>
      <c r="J207" s="83">
        <v>88.2</v>
      </c>
      <c r="K207" s="83">
        <v>0</v>
      </c>
      <c r="L207" s="83">
        <v>0</v>
      </c>
      <c r="M207" s="83">
        <v>0</v>
      </c>
      <c r="N207" s="83">
        <v>91.3</v>
      </c>
      <c r="O207" s="83">
        <v>0</v>
      </c>
      <c r="P207" s="83">
        <v>0</v>
      </c>
      <c r="Q207" s="83">
        <v>0</v>
      </c>
      <c r="R207" s="116" t="s">
        <v>15</v>
      </c>
      <c r="S207" s="116" t="s">
        <v>15</v>
      </c>
      <c r="T207" s="116" t="s">
        <v>15</v>
      </c>
      <c r="U207" s="116" t="s">
        <v>15</v>
      </c>
      <c r="V207" s="116" t="s">
        <v>15</v>
      </c>
      <c r="W207" s="116" t="s">
        <v>15</v>
      </c>
      <c r="X207" s="116" t="s">
        <v>15</v>
      </c>
      <c r="Y207" s="116" t="s">
        <v>15</v>
      </c>
      <c r="Z207" s="116" t="s">
        <v>15</v>
      </c>
      <c r="AA207" s="82" t="s">
        <v>384</v>
      </c>
      <c r="AB207" s="82" t="s">
        <v>383</v>
      </c>
      <c r="AC207" s="82" t="s">
        <v>372</v>
      </c>
    </row>
    <row r="208" spans="1:29" s="38" customFormat="1" ht="87.75" customHeight="1" x14ac:dyDescent="0.25">
      <c r="A208" s="82" t="s">
        <v>86</v>
      </c>
      <c r="B208" s="87" t="s">
        <v>87</v>
      </c>
      <c r="C208" s="82" t="s">
        <v>39</v>
      </c>
      <c r="D208" s="204" t="s">
        <v>371</v>
      </c>
      <c r="E208" s="204" t="s">
        <v>371</v>
      </c>
      <c r="F208" s="83">
        <v>1135873</v>
      </c>
      <c r="G208" s="83">
        <v>0</v>
      </c>
      <c r="H208" s="83">
        <v>0</v>
      </c>
      <c r="I208" s="83">
        <v>0</v>
      </c>
      <c r="J208" s="83">
        <v>1135873</v>
      </c>
      <c r="K208" s="83">
        <v>0</v>
      </c>
      <c r="L208" s="83">
        <v>0</v>
      </c>
      <c r="M208" s="83">
        <v>0</v>
      </c>
      <c r="N208" s="83">
        <v>0</v>
      </c>
      <c r="O208" s="83">
        <v>0</v>
      </c>
      <c r="P208" s="83">
        <v>0</v>
      </c>
      <c r="Q208" s="83">
        <v>0</v>
      </c>
      <c r="R208" s="116" t="s">
        <v>15</v>
      </c>
      <c r="S208" s="116" t="s">
        <v>15</v>
      </c>
      <c r="T208" s="116" t="s">
        <v>15</v>
      </c>
      <c r="U208" s="116" t="s">
        <v>15</v>
      </c>
      <c r="V208" s="116" t="s">
        <v>15</v>
      </c>
      <c r="W208" s="116" t="s">
        <v>15</v>
      </c>
      <c r="X208" s="116" t="s">
        <v>15</v>
      </c>
      <c r="Y208" s="116" t="s">
        <v>15</v>
      </c>
      <c r="Z208" s="116" t="s">
        <v>15</v>
      </c>
      <c r="AA208" s="82" t="s">
        <v>373</v>
      </c>
      <c r="AB208" s="82" t="s">
        <v>385</v>
      </c>
      <c r="AC208" s="82" t="s">
        <v>77</v>
      </c>
    </row>
    <row r="209" spans="1:29" s="49" customFormat="1" ht="119.25" customHeight="1" x14ac:dyDescent="0.3">
      <c r="A209" s="29" t="s">
        <v>60</v>
      </c>
      <c r="B209" s="30" t="s">
        <v>391</v>
      </c>
      <c r="C209" s="29" t="s">
        <v>15</v>
      </c>
      <c r="D209" s="29" t="s">
        <v>15</v>
      </c>
      <c r="E209" s="29" t="s">
        <v>15</v>
      </c>
      <c r="F209" s="31">
        <f>F210+F224+F227+F233+F231</f>
        <v>6857254.2559999991</v>
      </c>
      <c r="G209" s="31">
        <f t="shared" ref="G209:Q209" si="66">G210+G224+G227+G233+G231</f>
        <v>1270417.3799999999</v>
      </c>
      <c r="H209" s="31">
        <f t="shared" si="66"/>
        <v>293919.78109181143</v>
      </c>
      <c r="I209" s="31">
        <f t="shared" si="66"/>
        <v>2888174.4</v>
      </c>
      <c r="J209" s="31">
        <f t="shared" si="66"/>
        <v>4764358.8000000007</v>
      </c>
      <c r="K209" s="31">
        <f t="shared" si="66"/>
        <v>1103930.7</v>
      </c>
      <c r="L209" s="31">
        <f t="shared" si="66"/>
        <v>246661.57216034777</v>
      </c>
      <c r="M209" s="31">
        <f t="shared" si="66"/>
        <v>2695383.6</v>
      </c>
      <c r="N209" s="31">
        <f t="shared" si="66"/>
        <v>2299189.5</v>
      </c>
      <c r="O209" s="31">
        <f t="shared" si="66"/>
        <v>618448.1</v>
      </c>
      <c r="P209" s="31">
        <f t="shared" si="66"/>
        <v>198154.98837209301</v>
      </c>
      <c r="Q209" s="31">
        <f t="shared" si="66"/>
        <v>2695383.6</v>
      </c>
      <c r="R209" s="29" t="s">
        <v>15</v>
      </c>
      <c r="S209" s="29" t="s">
        <v>15</v>
      </c>
      <c r="T209" s="29" t="s">
        <v>15</v>
      </c>
      <c r="U209" s="29" t="s">
        <v>15</v>
      </c>
      <c r="V209" s="29" t="s">
        <v>15</v>
      </c>
      <c r="W209" s="29" t="s">
        <v>15</v>
      </c>
      <c r="X209" s="29" t="s">
        <v>15</v>
      </c>
      <c r="Y209" s="29" t="s">
        <v>15</v>
      </c>
      <c r="Z209" s="29" t="s">
        <v>15</v>
      </c>
      <c r="AA209" s="29" t="s">
        <v>15</v>
      </c>
      <c r="AB209" s="29" t="s">
        <v>15</v>
      </c>
      <c r="AC209" s="29" t="s">
        <v>15</v>
      </c>
    </row>
    <row r="210" spans="1:29" s="42" customFormat="1" ht="67.5" customHeight="1" x14ac:dyDescent="0.25">
      <c r="A210" s="39" t="s">
        <v>2</v>
      </c>
      <c r="B210" s="55" t="s">
        <v>114</v>
      </c>
      <c r="C210" s="39" t="s">
        <v>15</v>
      </c>
      <c r="D210" s="39" t="s">
        <v>15</v>
      </c>
      <c r="E210" s="39" t="s">
        <v>15</v>
      </c>
      <c r="F210" s="11">
        <f>F211+F213+F218</f>
        <v>3051740.9</v>
      </c>
      <c r="G210" s="11">
        <f t="shared" ref="G210:Q210" si="67">G211+G213+G218</f>
        <v>309180.5</v>
      </c>
      <c r="H210" s="11">
        <f t="shared" si="67"/>
        <v>48140.021091811366</v>
      </c>
      <c r="I210" s="11">
        <f t="shared" si="67"/>
        <v>0</v>
      </c>
      <c r="J210" s="11">
        <f t="shared" si="67"/>
        <v>1762143.8</v>
      </c>
      <c r="K210" s="11">
        <f t="shared" si="67"/>
        <v>257700</v>
      </c>
      <c r="L210" s="11">
        <f t="shared" si="67"/>
        <v>48506.583788254749</v>
      </c>
      <c r="M210" s="11">
        <f t="shared" si="67"/>
        <v>0</v>
      </c>
      <c r="N210" s="11">
        <f t="shared" si="67"/>
        <v>0</v>
      </c>
      <c r="O210" s="11">
        <f t="shared" si="67"/>
        <v>0</v>
      </c>
      <c r="P210" s="11">
        <f t="shared" si="67"/>
        <v>0</v>
      </c>
      <c r="Q210" s="11">
        <f t="shared" si="67"/>
        <v>0</v>
      </c>
      <c r="R210" s="39" t="s">
        <v>15</v>
      </c>
      <c r="S210" s="39" t="s">
        <v>15</v>
      </c>
      <c r="T210" s="39" t="s">
        <v>15</v>
      </c>
      <c r="U210" s="39" t="s">
        <v>15</v>
      </c>
      <c r="V210" s="39" t="s">
        <v>15</v>
      </c>
      <c r="W210" s="39" t="s">
        <v>15</v>
      </c>
      <c r="X210" s="39" t="s">
        <v>15</v>
      </c>
      <c r="Y210" s="39" t="s">
        <v>15</v>
      </c>
      <c r="Z210" s="39" t="s">
        <v>15</v>
      </c>
      <c r="AA210" s="39" t="s">
        <v>15</v>
      </c>
      <c r="AB210" s="39" t="s">
        <v>15</v>
      </c>
      <c r="AC210" s="39" t="s">
        <v>15</v>
      </c>
    </row>
    <row r="211" spans="1:29" s="43" customFormat="1" ht="63.75" customHeight="1" x14ac:dyDescent="0.25">
      <c r="A211" s="2" t="s">
        <v>1</v>
      </c>
      <c r="B211" s="4" t="s">
        <v>265</v>
      </c>
      <c r="C211" s="16" t="s">
        <v>15</v>
      </c>
      <c r="D211" s="16" t="s">
        <v>15</v>
      </c>
      <c r="E211" s="16" t="s">
        <v>15</v>
      </c>
      <c r="F211" s="8">
        <f>F212</f>
        <v>882568.7</v>
      </c>
      <c r="G211" s="8">
        <f t="shared" ref="G211:Q211" si="68">G212</f>
        <v>225000</v>
      </c>
      <c r="H211" s="8">
        <f t="shared" si="68"/>
        <v>45992.2</v>
      </c>
      <c r="I211" s="8">
        <f t="shared" si="68"/>
        <v>0</v>
      </c>
      <c r="J211" s="8">
        <f t="shared" si="68"/>
        <v>980631.9</v>
      </c>
      <c r="K211" s="8">
        <f t="shared" si="68"/>
        <v>225000</v>
      </c>
      <c r="L211" s="8">
        <f t="shared" si="68"/>
        <v>45992.2</v>
      </c>
      <c r="M211" s="8">
        <f t="shared" si="68"/>
        <v>0</v>
      </c>
      <c r="N211" s="8">
        <f t="shared" si="68"/>
        <v>0</v>
      </c>
      <c r="O211" s="8">
        <f t="shared" si="68"/>
        <v>0</v>
      </c>
      <c r="P211" s="8">
        <f t="shared" si="68"/>
        <v>0</v>
      </c>
      <c r="Q211" s="8">
        <f t="shared" si="68"/>
        <v>0</v>
      </c>
      <c r="R211" s="16" t="s">
        <v>15</v>
      </c>
      <c r="S211" s="16" t="s">
        <v>15</v>
      </c>
      <c r="T211" s="16" t="s">
        <v>15</v>
      </c>
      <c r="U211" s="16" t="s">
        <v>15</v>
      </c>
      <c r="V211" s="16" t="s">
        <v>15</v>
      </c>
      <c r="W211" s="16" t="s">
        <v>15</v>
      </c>
      <c r="X211" s="16" t="s">
        <v>15</v>
      </c>
      <c r="Y211" s="16" t="s">
        <v>15</v>
      </c>
      <c r="Z211" s="16" t="s">
        <v>15</v>
      </c>
      <c r="AA211" s="16" t="s">
        <v>15</v>
      </c>
      <c r="AB211" s="16" t="s">
        <v>15</v>
      </c>
      <c r="AC211" s="16" t="s">
        <v>15</v>
      </c>
    </row>
    <row r="212" spans="1:29" s="38" customFormat="1" ht="171.75" customHeight="1" x14ac:dyDescent="0.25">
      <c r="A212" s="158" t="s">
        <v>25</v>
      </c>
      <c r="B212" s="86" t="s">
        <v>115</v>
      </c>
      <c r="C212" s="82" t="s">
        <v>4</v>
      </c>
      <c r="D212" s="203" t="s">
        <v>520</v>
      </c>
      <c r="E212" s="203" t="s">
        <v>520</v>
      </c>
      <c r="F212" s="83">
        <v>882568.7</v>
      </c>
      <c r="G212" s="83">
        <v>225000</v>
      </c>
      <c r="H212" s="83">
        <v>45992.2</v>
      </c>
      <c r="I212" s="83">
        <v>0</v>
      </c>
      <c r="J212" s="83">
        <v>980631.9</v>
      </c>
      <c r="K212" s="83">
        <v>225000</v>
      </c>
      <c r="L212" s="83">
        <v>45992.2</v>
      </c>
      <c r="M212" s="83">
        <v>0</v>
      </c>
      <c r="N212" s="83">
        <v>0</v>
      </c>
      <c r="O212" s="83">
        <v>0</v>
      </c>
      <c r="P212" s="83">
        <v>0</v>
      </c>
      <c r="Q212" s="83">
        <v>0</v>
      </c>
      <c r="R212" s="132" t="s">
        <v>77</v>
      </c>
      <c r="S212" s="132" t="s">
        <v>77</v>
      </c>
      <c r="T212" s="115" t="s">
        <v>77</v>
      </c>
      <c r="U212" s="115" t="s">
        <v>77</v>
      </c>
      <c r="V212" s="115" t="s">
        <v>77</v>
      </c>
      <c r="W212" s="115" t="s">
        <v>77</v>
      </c>
      <c r="X212" s="115" t="s">
        <v>77</v>
      </c>
      <c r="Y212" s="115" t="s">
        <v>77</v>
      </c>
      <c r="Z212" s="115" t="s">
        <v>77</v>
      </c>
      <c r="AA212" s="82" t="s">
        <v>692</v>
      </c>
      <c r="AB212" s="82" t="s">
        <v>563</v>
      </c>
      <c r="AC212" s="89" t="s">
        <v>562</v>
      </c>
    </row>
    <row r="213" spans="1:29" s="43" customFormat="1" ht="51.75" customHeight="1" x14ac:dyDescent="0.25">
      <c r="A213" s="2" t="s">
        <v>8</v>
      </c>
      <c r="B213" s="4" t="s">
        <v>266</v>
      </c>
      <c r="C213" s="16" t="s">
        <v>15</v>
      </c>
      <c r="D213" s="16" t="s">
        <v>15</v>
      </c>
      <c r="E213" s="16" t="s">
        <v>15</v>
      </c>
      <c r="F213" s="8">
        <f>F214</f>
        <v>827388.7</v>
      </c>
      <c r="G213" s="8">
        <f t="shared" ref="G213:Q213" si="69">G214</f>
        <v>27980.5</v>
      </c>
      <c r="H213" s="8">
        <f t="shared" si="69"/>
        <v>1167.2999999999527</v>
      </c>
      <c r="I213" s="8">
        <f t="shared" si="69"/>
        <v>0</v>
      </c>
      <c r="J213" s="8">
        <f t="shared" si="69"/>
        <v>0</v>
      </c>
      <c r="K213" s="8">
        <f t="shared" si="69"/>
        <v>0</v>
      </c>
      <c r="L213" s="8">
        <f t="shared" si="69"/>
        <v>0</v>
      </c>
      <c r="M213" s="8">
        <f t="shared" si="69"/>
        <v>0</v>
      </c>
      <c r="N213" s="8">
        <f t="shared" si="69"/>
        <v>0</v>
      </c>
      <c r="O213" s="8">
        <f t="shared" si="69"/>
        <v>0</v>
      </c>
      <c r="P213" s="8">
        <f t="shared" si="69"/>
        <v>0</v>
      </c>
      <c r="Q213" s="8">
        <f t="shared" si="69"/>
        <v>0</v>
      </c>
      <c r="R213" s="16" t="s">
        <v>15</v>
      </c>
      <c r="S213" s="16" t="s">
        <v>15</v>
      </c>
      <c r="T213" s="16" t="s">
        <v>15</v>
      </c>
      <c r="U213" s="16" t="s">
        <v>15</v>
      </c>
      <c r="V213" s="16" t="s">
        <v>15</v>
      </c>
      <c r="W213" s="16" t="s">
        <v>15</v>
      </c>
      <c r="X213" s="16" t="s">
        <v>15</v>
      </c>
      <c r="Y213" s="16" t="s">
        <v>15</v>
      </c>
      <c r="Z213" s="16" t="s">
        <v>15</v>
      </c>
      <c r="AA213" s="16" t="s">
        <v>15</v>
      </c>
      <c r="AB213" s="16" t="s">
        <v>15</v>
      </c>
      <c r="AC213" s="16" t="s">
        <v>15</v>
      </c>
    </row>
    <row r="214" spans="1:29" s="130" customFormat="1" ht="47.25" x14ac:dyDescent="0.25">
      <c r="A214" s="158" t="s">
        <v>48</v>
      </c>
      <c r="B214" s="87" t="s">
        <v>118</v>
      </c>
      <c r="C214" s="219" t="s">
        <v>4</v>
      </c>
      <c r="D214" s="219" t="s">
        <v>520</v>
      </c>
      <c r="E214" s="219" t="s">
        <v>520</v>
      </c>
      <c r="F214" s="106">
        <f>F215+F216+F217</f>
        <v>827388.7</v>
      </c>
      <c r="G214" s="106">
        <f t="shared" ref="G214:Q214" si="70">G215+G216+G217</f>
        <v>27980.5</v>
      </c>
      <c r="H214" s="106">
        <f t="shared" si="70"/>
        <v>1167.2999999999527</v>
      </c>
      <c r="I214" s="106">
        <f t="shared" si="70"/>
        <v>0</v>
      </c>
      <c r="J214" s="106">
        <f t="shared" si="70"/>
        <v>0</v>
      </c>
      <c r="K214" s="106">
        <f t="shared" si="70"/>
        <v>0</v>
      </c>
      <c r="L214" s="106">
        <f t="shared" si="70"/>
        <v>0</v>
      </c>
      <c r="M214" s="106">
        <f t="shared" si="70"/>
        <v>0</v>
      </c>
      <c r="N214" s="106">
        <f t="shared" si="70"/>
        <v>0</v>
      </c>
      <c r="O214" s="106">
        <f t="shared" si="70"/>
        <v>0</v>
      </c>
      <c r="P214" s="106">
        <f t="shared" si="70"/>
        <v>0</v>
      </c>
      <c r="Q214" s="106">
        <f t="shared" si="70"/>
        <v>0</v>
      </c>
      <c r="R214" s="132" t="s">
        <v>77</v>
      </c>
      <c r="S214" s="132" t="s">
        <v>77</v>
      </c>
      <c r="T214" s="82" t="s">
        <v>77</v>
      </c>
      <c r="U214" s="82" t="s">
        <v>77</v>
      </c>
      <c r="V214" s="82" t="s">
        <v>77</v>
      </c>
      <c r="W214" s="82" t="s">
        <v>77</v>
      </c>
      <c r="X214" s="82" t="s">
        <v>77</v>
      </c>
      <c r="Y214" s="82" t="s">
        <v>77</v>
      </c>
      <c r="Z214" s="82" t="s">
        <v>77</v>
      </c>
      <c r="AA214" s="203" t="s">
        <v>119</v>
      </c>
      <c r="AB214" s="203" t="s">
        <v>117</v>
      </c>
      <c r="AC214" s="203" t="s">
        <v>116</v>
      </c>
    </row>
    <row r="215" spans="1:29" s="130" customFormat="1" ht="66" customHeight="1" x14ac:dyDescent="0.25">
      <c r="A215" s="158" t="s">
        <v>289</v>
      </c>
      <c r="B215" s="101" t="s">
        <v>564</v>
      </c>
      <c r="C215" s="219"/>
      <c r="D215" s="219"/>
      <c r="E215" s="219"/>
      <c r="F215" s="83">
        <v>26384.799999999999</v>
      </c>
      <c r="G215" s="83">
        <v>1099.4000000000001</v>
      </c>
      <c r="H215" s="83">
        <f>27530-SUM(F215:G215)</f>
        <v>45.799999999999272</v>
      </c>
      <c r="I215" s="83">
        <v>0</v>
      </c>
      <c r="J215" s="83">
        <v>0</v>
      </c>
      <c r="K215" s="83">
        <v>0</v>
      </c>
      <c r="L215" s="83">
        <v>0</v>
      </c>
      <c r="M215" s="83">
        <v>0</v>
      </c>
      <c r="N215" s="83">
        <v>0</v>
      </c>
      <c r="O215" s="83">
        <v>0</v>
      </c>
      <c r="P215" s="83">
        <v>0</v>
      </c>
      <c r="Q215" s="83">
        <v>0</v>
      </c>
      <c r="R215" s="203">
        <v>2020</v>
      </c>
      <c r="S215" s="203">
        <v>2023</v>
      </c>
      <c r="T215" s="115" t="s">
        <v>77</v>
      </c>
      <c r="U215" s="115" t="s">
        <v>77</v>
      </c>
      <c r="V215" s="115" t="s">
        <v>77</v>
      </c>
      <c r="W215" s="115" t="s">
        <v>565</v>
      </c>
      <c r="X215" s="115" t="s">
        <v>566</v>
      </c>
      <c r="Y215" s="82">
        <v>2023</v>
      </c>
      <c r="Z215" s="83">
        <f>SUM(F215:P215)</f>
        <v>27530</v>
      </c>
      <c r="AA215" s="94" t="s">
        <v>567</v>
      </c>
      <c r="AB215" s="82" t="s">
        <v>576</v>
      </c>
      <c r="AC215" s="218" t="s">
        <v>568</v>
      </c>
    </row>
    <row r="216" spans="1:29" s="130" customFormat="1" ht="63" x14ac:dyDescent="0.25">
      <c r="A216" s="158" t="s">
        <v>294</v>
      </c>
      <c r="B216" s="101" t="s">
        <v>569</v>
      </c>
      <c r="C216" s="219"/>
      <c r="D216" s="219"/>
      <c r="E216" s="219"/>
      <c r="F216" s="83">
        <v>263754</v>
      </c>
      <c r="G216" s="83">
        <v>4495.6000000000004</v>
      </c>
      <c r="H216" s="83">
        <v>187.3</v>
      </c>
      <c r="I216" s="83">
        <v>0</v>
      </c>
      <c r="J216" s="83">
        <v>0</v>
      </c>
      <c r="K216" s="83">
        <v>0</v>
      </c>
      <c r="L216" s="83">
        <v>0</v>
      </c>
      <c r="M216" s="83">
        <v>0</v>
      </c>
      <c r="N216" s="83">
        <v>0</v>
      </c>
      <c r="O216" s="83">
        <v>0</v>
      </c>
      <c r="P216" s="83">
        <v>0</v>
      </c>
      <c r="Q216" s="83">
        <v>0</v>
      </c>
      <c r="R216" s="203">
        <v>2022</v>
      </c>
      <c r="S216" s="203">
        <v>2023</v>
      </c>
      <c r="T216" s="115" t="s">
        <v>77</v>
      </c>
      <c r="U216" s="115" t="s">
        <v>77</v>
      </c>
      <c r="V216" s="115" t="s">
        <v>570</v>
      </c>
      <c r="W216" s="115" t="s">
        <v>570</v>
      </c>
      <c r="X216" s="82" t="s">
        <v>571</v>
      </c>
      <c r="Y216" s="82">
        <v>2023</v>
      </c>
      <c r="Z216" s="83">
        <f>SUM(F216:P216)</f>
        <v>268436.89999999997</v>
      </c>
      <c r="AA216" s="94" t="s">
        <v>572</v>
      </c>
      <c r="AB216" s="82" t="s">
        <v>576</v>
      </c>
      <c r="AC216" s="218"/>
    </row>
    <row r="217" spans="1:29" s="130" customFormat="1" ht="74.25" customHeight="1" x14ac:dyDescent="0.25">
      <c r="A217" s="158" t="s">
        <v>528</v>
      </c>
      <c r="B217" s="101" t="s">
        <v>573</v>
      </c>
      <c r="C217" s="219"/>
      <c r="D217" s="219"/>
      <c r="E217" s="219"/>
      <c r="F217" s="83">
        <v>537249.9</v>
      </c>
      <c r="G217" s="83">
        <v>22385.5</v>
      </c>
      <c r="H217" s="83">
        <v>934.19999999995343</v>
      </c>
      <c r="I217" s="83">
        <v>0</v>
      </c>
      <c r="J217" s="83">
        <v>0</v>
      </c>
      <c r="K217" s="83">
        <v>0</v>
      </c>
      <c r="L217" s="83">
        <v>0</v>
      </c>
      <c r="M217" s="83">
        <v>0</v>
      </c>
      <c r="N217" s="83">
        <v>0</v>
      </c>
      <c r="O217" s="83">
        <v>0</v>
      </c>
      <c r="P217" s="83">
        <v>0</v>
      </c>
      <c r="Q217" s="83">
        <v>0</v>
      </c>
      <c r="R217" s="203">
        <v>2022</v>
      </c>
      <c r="S217" s="203">
        <v>2023</v>
      </c>
      <c r="T217" s="115" t="s">
        <v>77</v>
      </c>
      <c r="U217" s="115" t="s">
        <v>77</v>
      </c>
      <c r="V217" s="115" t="s">
        <v>574</v>
      </c>
      <c r="W217" s="115" t="s">
        <v>574</v>
      </c>
      <c r="X217" s="82" t="s">
        <v>575</v>
      </c>
      <c r="Y217" s="82">
        <v>2023</v>
      </c>
      <c r="Z217" s="83">
        <f>SUM(F217:P217)</f>
        <v>560569.59999999998</v>
      </c>
      <c r="AA217" s="94" t="s">
        <v>572</v>
      </c>
      <c r="AB217" s="82" t="s">
        <v>576</v>
      </c>
      <c r="AC217" s="218"/>
    </row>
    <row r="218" spans="1:29" s="43" customFormat="1" ht="47.25" customHeight="1" x14ac:dyDescent="0.25">
      <c r="A218" s="2" t="s">
        <v>42</v>
      </c>
      <c r="B218" s="4" t="s">
        <v>267</v>
      </c>
      <c r="C218" s="16" t="s">
        <v>15</v>
      </c>
      <c r="D218" s="16" t="s">
        <v>15</v>
      </c>
      <c r="E218" s="16" t="s">
        <v>15</v>
      </c>
      <c r="F218" s="8">
        <f>F219</f>
        <v>1341783.5</v>
      </c>
      <c r="G218" s="8">
        <f t="shared" ref="G218:Q218" si="71">G219</f>
        <v>56200</v>
      </c>
      <c r="H218" s="8">
        <f t="shared" si="71"/>
        <v>980.52109181141441</v>
      </c>
      <c r="I218" s="8">
        <f t="shared" si="71"/>
        <v>0</v>
      </c>
      <c r="J218" s="8">
        <f t="shared" si="71"/>
        <v>781511.9</v>
      </c>
      <c r="K218" s="8">
        <f t="shared" si="71"/>
        <v>32700</v>
      </c>
      <c r="L218" s="8">
        <f t="shared" si="71"/>
        <v>2514.3837882547559</v>
      </c>
      <c r="M218" s="8">
        <f t="shared" si="71"/>
        <v>0</v>
      </c>
      <c r="N218" s="8">
        <f t="shared" si="71"/>
        <v>0</v>
      </c>
      <c r="O218" s="8">
        <f t="shared" si="71"/>
        <v>0</v>
      </c>
      <c r="P218" s="8">
        <f t="shared" si="71"/>
        <v>0</v>
      </c>
      <c r="Q218" s="8">
        <f t="shared" si="71"/>
        <v>0</v>
      </c>
      <c r="R218" s="16" t="s">
        <v>15</v>
      </c>
      <c r="S218" s="16" t="s">
        <v>15</v>
      </c>
      <c r="T218" s="16" t="s">
        <v>15</v>
      </c>
      <c r="U218" s="16" t="s">
        <v>15</v>
      </c>
      <c r="V218" s="16" t="s">
        <v>15</v>
      </c>
      <c r="W218" s="16" t="s">
        <v>15</v>
      </c>
      <c r="X218" s="16" t="s">
        <v>15</v>
      </c>
      <c r="Y218" s="16" t="s">
        <v>15</v>
      </c>
      <c r="Z218" s="16" t="s">
        <v>15</v>
      </c>
      <c r="AA218" s="16" t="s">
        <v>15</v>
      </c>
      <c r="AB218" s="16" t="s">
        <v>15</v>
      </c>
      <c r="AC218" s="16" t="s">
        <v>15</v>
      </c>
    </row>
    <row r="219" spans="1:29" s="3" customFormat="1" ht="78.75" customHeight="1" x14ac:dyDescent="0.25">
      <c r="A219" s="141" t="s">
        <v>50</v>
      </c>
      <c r="B219" s="172" t="s">
        <v>156</v>
      </c>
      <c r="C219" s="205" t="s">
        <v>4</v>
      </c>
      <c r="D219" s="208" t="s">
        <v>377</v>
      </c>
      <c r="E219" s="208" t="s">
        <v>377</v>
      </c>
      <c r="F219" s="140">
        <f>SUM(F220:F223)</f>
        <v>1341783.5</v>
      </c>
      <c r="G219" s="140">
        <f t="shared" ref="G219:Q219" si="72">SUM(G220:G223)</f>
        <v>56200</v>
      </c>
      <c r="H219" s="140">
        <f t="shared" si="72"/>
        <v>980.52109181141441</v>
      </c>
      <c r="I219" s="140">
        <f t="shared" si="72"/>
        <v>0</v>
      </c>
      <c r="J219" s="140">
        <f t="shared" si="72"/>
        <v>781511.9</v>
      </c>
      <c r="K219" s="140">
        <f t="shared" si="72"/>
        <v>32700</v>
      </c>
      <c r="L219" s="140">
        <f t="shared" si="72"/>
        <v>2514.3837882547559</v>
      </c>
      <c r="M219" s="140">
        <f t="shared" si="72"/>
        <v>0</v>
      </c>
      <c r="N219" s="140">
        <f t="shared" si="72"/>
        <v>0</v>
      </c>
      <c r="O219" s="140">
        <f t="shared" si="72"/>
        <v>0</v>
      </c>
      <c r="P219" s="140">
        <f t="shared" si="72"/>
        <v>0</v>
      </c>
      <c r="Q219" s="140">
        <f t="shared" si="72"/>
        <v>0</v>
      </c>
      <c r="R219" s="208" t="s">
        <v>15</v>
      </c>
      <c r="S219" s="208" t="s">
        <v>15</v>
      </c>
      <c r="T219" s="208" t="s">
        <v>15</v>
      </c>
      <c r="U219" s="208" t="s">
        <v>15</v>
      </c>
      <c r="V219" s="208" t="s">
        <v>15</v>
      </c>
      <c r="W219" s="208" t="s">
        <v>15</v>
      </c>
      <c r="X219" s="208" t="s">
        <v>15</v>
      </c>
      <c r="Y219" s="208" t="s">
        <v>15</v>
      </c>
      <c r="Z219" s="208" t="s">
        <v>15</v>
      </c>
      <c r="AA219" s="221" t="s">
        <v>983</v>
      </c>
      <c r="AB219" s="221" t="s">
        <v>552</v>
      </c>
      <c r="AC219" s="221" t="s">
        <v>1130</v>
      </c>
    </row>
    <row r="220" spans="1:29" s="3" customFormat="1" ht="53.25" customHeight="1" x14ac:dyDescent="0.25">
      <c r="A220" s="141" t="s">
        <v>57</v>
      </c>
      <c r="B220" s="179" t="s">
        <v>1124</v>
      </c>
      <c r="C220" s="208" t="s">
        <v>1125</v>
      </c>
      <c r="D220" s="208" t="s">
        <v>1126</v>
      </c>
      <c r="E220" s="208" t="s">
        <v>1126</v>
      </c>
      <c r="F220" s="140">
        <v>225654.1</v>
      </c>
      <c r="G220" s="140">
        <v>9450</v>
      </c>
      <c r="H220" s="140">
        <f>G220*7/93</f>
        <v>711.29032258064512</v>
      </c>
      <c r="I220" s="140">
        <v>0</v>
      </c>
      <c r="J220" s="140">
        <v>269319.2</v>
      </c>
      <c r="K220" s="140">
        <v>11300</v>
      </c>
      <c r="L220" s="140">
        <f>K220*7/93</f>
        <v>850.53763440860212</v>
      </c>
      <c r="M220" s="140">
        <v>0</v>
      </c>
      <c r="N220" s="140">
        <v>0</v>
      </c>
      <c r="O220" s="140">
        <v>0</v>
      </c>
      <c r="P220" s="140">
        <v>0</v>
      </c>
      <c r="Q220" s="140">
        <v>0</v>
      </c>
      <c r="R220" s="208">
        <v>2023</v>
      </c>
      <c r="S220" s="208">
        <v>2025</v>
      </c>
      <c r="T220" s="208" t="s">
        <v>15</v>
      </c>
      <c r="U220" s="208" t="s">
        <v>15</v>
      </c>
      <c r="V220" s="208" t="s">
        <v>15</v>
      </c>
      <c r="W220" s="208" t="s">
        <v>15</v>
      </c>
      <c r="X220" s="208" t="s">
        <v>15</v>
      </c>
      <c r="Y220" s="208" t="s">
        <v>15</v>
      </c>
      <c r="Z220" s="208" t="s">
        <v>15</v>
      </c>
      <c r="AA220" s="221"/>
      <c r="AB220" s="221"/>
      <c r="AC220" s="221"/>
    </row>
    <row r="221" spans="1:29" s="3" customFormat="1" ht="65.25" customHeight="1" x14ac:dyDescent="0.25">
      <c r="A221" s="141" t="s">
        <v>58</v>
      </c>
      <c r="B221" s="179" t="s">
        <v>1127</v>
      </c>
      <c r="C221" s="208" t="s">
        <v>1125</v>
      </c>
      <c r="D221" s="208" t="s">
        <v>1126</v>
      </c>
      <c r="E221" s="208" t="s">
        <v>1126</v>
      </c>
      <c r="F221" s="140">
        <v>0</v>
      </c>
      <c r="G221" s="140">
        <v>0</v>
      </c>
      <c r="H221" s="140">
        <v>0</v>
      </c>
      <c r="I221" s="140">
        <v>0</v>
      </c>
      <c r="J221" s="140">
        <v>72897.600000000006</v>
      </c>
      <c r="K221" s="140">
        <v>3090</v>
      </c>
      <c r="L221" s="140">
        <v>1663.8461538461538</v>
      </c>
      <c r="M221" s="140">
        <v>0</v>
      </c>
      <c r="N221" s="140">
        <v>0</v>
      </c>
      <c r="O221" s="140">
        <v>0</v>
      </c>
      <c r="P221" s="140">
        <v>0</v>
      </c>
      <c r="Q221" s="140">
        <v>0</v>
      </c>
      <c r="R221" s="208">
        <v>2023</v>
      </c>
      <c r="S221" s="208">
        <v>2025</v>
      </c>
      <c r="T221" s="208" t="s">
        <v>15</v>
      </c>
      <c r="U221" s="208" t="s">
        <v>15</v>
      </c>
      <c r="V221" s="208" t="s">
        <v>15</v>
      </c>
      <c r="W221" s="208" t="s">
        <v>15</v>
      </c>
      <c r="X221" s="208" t="s">
        <v>15</v>
      </c>
      <c r="Y221" s="208" t="s">
        <v>15</v>
      </c>
      <c r="Z221" s="208" t="s">
        <v>15</v>
      </c>
      <c r="AA221" s="221"/>
      <c r="AB221" s="221"/>
      <c r="AC221" s="221"/>
    </row>
    <row r="222" spans="1:29" s="3" customFormat="1" ht="52.5" customHeight="1" x14ac:dyDescent="0.25">
      <c r="A222" s="141" t="s">
        <v>59</v>
      </c>
      <c r="B222" s="179" t="s">
        <v>1128</v>
      </c>
      <c r="C222" s="208" t="s">
        <v>1125</v>
      </c>
      <c r="D222" s="208" t="s">
        <v>1126</v>
      </c>
      <c r="E222" s="208" t="s">
        <v>1126</v>
      </c>
      <c r="F222" s="140">
        <v>11582.7</v>
      </c>
      <c r="G222" s="140">
        <v>500</v>
      </c>
      <c r="H222" s="140">
        <v>269.23076923076923</v>
      </c>
      <c r="I222" s="140">
        <v>0</v>
      </c>
      <c r="J222" s="140">
        <v>0</v>
      </c>
      <c r="K222" s="140">
        <v>0</v>
      </c>
      <c r="L222" s="140">
        <v>0</v>
      </c>
      <c r="M222" s="140">
        <v>0</v>
      </c>
      <c r="N222" s="140">
        <v>0</v>
      </c>
      <c r="O222" s="140">
        <v>0</v>
      </c>
      <c r="P222" s="140">
        <v>0</v>
      </c>
      <c r="Q222" s="140">
        <v>0</v>
      </c>
      <c r="R222" s="208">
        <v>2023</v>
      </c>
      <c r="S222" s="208">
        <v>2025</v>
      </c>
      <c r="T222" s="208" t="s">
        <v>15</v>
      </c>
      <c r="U222" s="208" t="s">
        <v>15</v>
      </c>
      <c r="V222" s="208" t="s">
        <v>15</v>
      </c>
      <c r="W222" s="208" t="s">
        <v>15</v>
      </c>
      <c r="X222" s="208" t="s">
        <v>15</v>
      </c>
      <c r="Y222" s="208" t="s">
        <v>15</v>
      </c>
      <c r="Z222" s="208" t="s">
        <v>15</v>
      </c>
      <c r="AA222" s="221"/>
      <c r="AB222" s="221"/>
      <c r="AC222" s="221"/>
    </row>
    <row r="223" spans="1:29" s="3" customFormat="1" ht="102" customHeight="1" x14ac:dyDescent="0.25">
      <c r="A223" s="147" t="s">
        <v>295</v>
      </c>
      <c r="B223" s="179" t="s">
        <v>1129</v>
      </c>
      <c r="C223" s="208" t="s">
        <v>1125</v>
      </c>
      <c r="D223" s="208" t="s">
        <v>1126</v>
      </c>
      <c r="E223" s="208" t="s">
        <v>1126</v>
      </c>
      <c r="F223" s="140">
        <v>1104546.7</v>
      </c>
      <c r="G223" s="140">
        <v>46250</v>
      </c>
      <c r="H223" s="140">
        <v>0</v>
      </c>
      <c r="I223" s="140">
        <v>0</v>
      </c>
      <c r="J223" s="140">
        <v>439295.1</v>
      </c>
      <c r="K223" s="140">
        <v>18310</v>
      </c>
      <c r="L223" s="140">
        <v>0</v>
      </c>
      <c r="M223" s="140">
        <v>0</v>
      </c>
      <c r="N223" s="140">
        <v>0</v>
      </c>
      <c r="O223" s="140">
        <v>0</v>
      </c>
      <c r="P223" s="140">
        <v>0</v>
      </c>
      <c r="Q223" s="140">
        <v>0</v>
      </c>
      <c r="R223" s="208">
        <v>2023</v>
      </c>
      <c r="S223" s="208">
        <v>2025</v>
      </c>
      <c r="T223" s="208" t="s">
        <v>15</v>
      </c>
      <c r="U223" s="208" t="s">
        <v>15</v>
      </c>
      <c r="V223" s="208" t="s">
        <v>15</v>
      </c>
      <c r="W223" s="208" t="s">
        <v>15</v>
      </c>
      <c r="X223" s="208" t="s">
        <v>15</v>
      </c>
      <c r="Y223" s="208" t="s">
        <v>15</v>
      </c>
      <c r="Z223" s="208" t="s">
        <v>15</v>
      </c>
      <c r="AA223" s="221"/>
      <c r="AB223" s="221"/>
      <c r="AC223" s="221"/>
    </row>
    <row r="224" spans="1:29" s="19" customFormat="1" ht="125.25" customHeight="1" x14ac:dyDescent="0.25">
      <c r="A224" s="2" t="s">
        <v>60</v>
      </c>
      <c r="B224" s="4" t="s">
        <v>101</v>
      </c>
      <c r="C224" s="2" t="s">
        <v>15</v>
      </c>
      <c r="D224" s="2" t="s">
        <v>15</v>
      </c>
      <c r="E224" s="2" t="s">
        <v>15</v>
      </c>
      <c r="F224" s="8">
        <f>F225+F226</f>
        <v>1168114.94</v>
      </c>
      <c r="G224" s="8">
        <f t="shared" ref="G224:Q224" si="73">G225+G226</f>
        <v>389371.68</v>
      </c>
      <c r="H224" s="8">
        <f t="shared" si="73"/>
        <v>55516.36</v>
      </c>
      <c r="I224" s="8">
        <f t="shared" si="73"/>
        <v>0</v>
      </c>
      <c r="J224" s="8">
        <f t="shared" si="73"/>
        <v>1070263.3999999999</v>
      </c>
      <c r="K224" s="8">
        <f t="shared" si="73"/>
        <v>356754.49999999994</v>
      </c>
      <c r="L224" s="8">
        <f t="shared" si="73"/>
        <v>50206.588372093021</v>
      </c>
      <c r="M224" s="8">
        <f t="shared" si="73"/>
        <v>0</v>
      </c>
      <c r="N224" s="8">
        <f t="shared" si="73"/>
        <v>925235.7</v>
      </c>
      <c r="O224" s="8">
        <f t="shared" si="73"/>
        <v>308411.89999999997</v>
      </c>
      <c r="P224" s="8">
        <f t="shared" si="73"/>
        <v>50206.588372093021</v>
      </c>
      <c r="Q224" s="8">
        <f t="shared" si="73"/>
        <v>0</v>
      </c>
      <c r="R224" s="16" t="s">
        <v>15</v>
      </c>
      <c r="S224" s="16" t="s">
        <v>15</v>
      </c>
      <c r="T224" s="16" t="s">
        <v>15</v>
      </c>
      <c r="U224" s="16" t="s">
        <v>15</v>
      </c>
      <c r="V224" s="16" t="s">
        <v>15</v>
      </c>
      <c r="W224" s="16" t="s">
        <v>15</v>
      </c>
      <c r="X224" s="16" t="s">
        <v>15</v>
      </c>
      <c r="Y224" s="16" t="s">
        <v>15</v>
      </c>
      <c r="Z224" s="16" t="s">
        <v>15</v>
      </c>
      <c r="AA224" s="2" t="s">
        <v>15</v>
      </c>
      <c r="AB224" s="2" t="s">
        <v>15</v>
      </c>
      <c r="AC224" s="2" t="s">
        <v>15</v>
      </c>
    </row>
    <row r="225" spans="1:29" s="163" customFormat="1" ht="94.5" x14ac:dyDescent="0.25">
      <c r="A225" s="143" t="s">
        <v>51</v>
      </c>
      <c r="B225" s="173" t="s">
        <v>155</v>
      </c>
      <c r="C225" s="205" t="s">
        <v>4</v>
      </c>
      <c r="D225" s="208" t="s">
        <v>377</v>
      </c>
      <c r="E225" s="208" t="s">
        <v>377</v>
      </c>
      <c r="F225" s="140">
        <v>145027.70000000001</v>
      </c>
      <c r="G225" s="140">
        <v>48342.6</v>
      </c>
      <c r="H225" s="140">
        <v>0</v>
      </c>
      <c r="I225" s="140">
        <v>0</v>
      </c>
      <c r="J225" s="140">
        <v>145027.70000000001</v>
      </c>
      <c r="K225" s="140">
        <v>48342.6</v>
      </c>
      <c r="L225" s="140">
        <v>0</v>
      </c>
      <c r="M225" s="140">
        <v>0</v>
      </c>
      <c r="N225" s="140">
        <v>0</v>
      </c>
      <c r="O225" s="140">
        <v>0</v>
      </c>
      <c r="P225" s="140">
        <v>0</v>
      </c>
      <c r="Q225" s="140">
        <v>0</v>
      </c>
      <c r="R225" s="208" t="s">
        <v>15</v>
      </c>
      <c r="S225" s="208" t="s">
        <v>15</v>
      </c>
      <c r="T225" s="208" t="s">
        <v>15</v>
      </c>
      <c r="U225" s="208" t="s">
        <v>15</v>
      </c>
      <c r="V225" s="208" t="s">
        <v>15</v>
      </c>
      <c r="W225" s="208" t="s">
        <v>15</v>
      </c>
      <c r="X225" s="208" t="s">
        <v>15</v>
      </c>
      <c r="Y225" s="208" t="s">
        <v>15</v>
      </c>
      <c r="Z225" s="208" t="s">
        <v>15</v>
      </c>
      <c r="AA225" s="152" t="s">
        <v>1045</v>
      </c>
      <c r="AB225" s="208" t="s">
        <v>15</v>
      </c>
      <c r="AC225" s="152" t="s">
        <v>548</v>
      </c>
    </row>
    <row r="226" spans="1:29" s="3" customFormat="1" ht="62.25" customHeight="1" x14ac:dyDescent="0.25">
      <c r="A226" s="141" t="s">
        <v>61</v>
      </c>
      <c r="B226" s="172" t="s">
        <v>157</v>
      </c>
      <c r="C226" s="205" t="s">
        <v>4</v>
      </c>
      <c r="D226" s="208" t="s">
        <v>377</v>
      </c>
      <c r="E226" s="208" t="s">
        <v>377</v>
      </c>
      <c r="F226" s="140">
        <v>1023087.24</v>
      </c>
      <c r="G226" s="140">
        <v>341029.08</v>
      </c>
      <c r="H226" s="140">
        <v>55516.36</v>
      </c>
      <c r="I226" s="140">
        <v>0</v>
      </c>
      <c r="J226" s="140">
        <v>925235.7</v>
      </c>
      <c r="K226" s="140">
        <f>J226*25%/75%</f>
        <v>308411.89999999997</v>
      </c>
      <c r="L226" s="140">
        <f>K226*14%/86%</f>
        <v>50206.588372093021</v>
      </c>
      <c r="M226" s="140">
        <v>0</v>
      </c>
      <c r="N226" s="140">
        <v>925235.7</v>
      </c>
      <c r="O226" s="140">
        <f>N226*25%/75%</f>
        <v>308411.89999999997</v>
      </c>
      <c r="P226" s="140">
        <f>O226*14%/86%</f>
        <v>50206.588372093021</v>
      </c>
      <c r="Q226" s="140">
        <v>0</v>
      </c>
      <c r="R226" s="208" t="s">
        <v>15</v>
      </c>
      <c r="S226" s="208" t="s">
        <v>15</v>
      </c>
      <c r="T226" s="208" t="s">
        <v>15</v>
      </c>
      <c r="U226" s="208" t="s">
        <v>15</v>
      </c>
      <c r="V226" s="208" t="s">
        <v>15</v>
      </c>
      <c r="W226" s="208" t="s">
        <v>15</v>
      </c>
      <c r="X226" s="208" t="s">
        <v>15</v>
      </c>
      <c r="Y226" s="208" t="s">
        <v>15</v>
      </c>
      <c r="Z226" s="208" t="s">
        <v>15</v>
      </c>
      <c r="AA226" s="208" t="s">
        <v>984</v>
      </c>
      <c r="AB226" s="208" t="s">
        <v>985</v>
      </c>
      <c r="AC226" s="208" t="s">
        <v>355</v>
      </c>
    </row>
    <row r="227" spans="1:29" s="58" customFormat="1" ht="132" customHeight="1" x14ac:dyDescent="0.25">
      <c r="A227" s="2" t="s">
        <v>63</v>
      </c>
      <c r="B227" s="4" t="s">
        <v>101</v>
      </c>
      <c r="C227" s="2" t="s">
        <v>15</v>
      </c>
      <c r="D227" s="2" t="s">
        <v>15</v>
      </c>
      <c r="E227" s="2" t="s">
        <v>15</v>
      </c>
      <c r="F227" s="23">
        <f>F228+F229+F230</f>
        <v>2008669.1</v>
      </c>
      <c r="G227" s="23">
        <f t="shared" ref="G227:Q227" si="74">G228+G229+G230</f>
        <v>489476.2</v>
      </c>
      <c r="H227" s="23">
        <f t="shared" si="74"/>
        <v>180080.2</v>
      </c>
      <c r="I227" s="23">
        <f t="shared" si="74"/>
        <v>2888174.4</v>
      </c>
      <c r="J227" s="23">
        <f t="shared" si="74"/>
        <v>1912273.7000000002</v>
      </c>
      <c r="K227" s="23">
        <f t="shared" si="74"/>
        <v>489476.2</v>
      </c>
      <c r="L227" s="23">
        <f t="shared" si="74"/>
        <v>147948.4</v>
      </c>
      <c r="M227" s="23">
        <f t="shared" si="74"/>
        <v>2695383.6</v>
      </c>
      <c r="N227" s="23">
        <f t="shared" si="74"/>
        <v>1373953.8</v>
      </c>
      <c r="O227" s="23">
        <f t="shared" si="74"/>
        <v>310036.2</v>
      </c>
      <c r="P227" s="23">
        <f t="shared" si="74"/>
        <v>147948.4</v>
      </c>
      <c r="Q227" s="23">
        <f t="shared" si="74"/>
        <v>2695383.6</v>
      </c>
      <c r="R227" s="2" t="s">
        <v>15</v>
      </c>
      <c r="S227" s="2" t="s">
        <v>15</v>
      </c>
      <c r="T227" s="2" t="s">
        <v>15</v>
      </c>
      <c r="U227" s="2" t="s">
        <v>15</v>
      </c>
      <c r="V227" s="2" t="s">
        <v>15</v>
      </c>
      <c r="W227" s="2" t="s">
        <v>15</v>
      </c>
      <c r="X227" s="2" t="s">
        <v>15</v>
      </c>
      <c r="Y227" s="2" t="s">
        <v>15</v>
      </c>
      <c r="Z227" s="2" t="s">
        <v>15</v>
      </c>
      <c r="AA227" s="2" t="s">
        <v>15</v>
      </c>
      <c r="AB227" s="2" t="s">
        <v>15</v>
      </c>
      <c r="AC227" s="2" t="s">
        <v>15</v>
      </c>
    </row>
    <row r="228" spans="1:29" s="145" customFormat="1" ht="148.5" customHeight="1" x14ac:dyDescent="0.25">
      <c r="A228" s="208" t="s">
        <v>52</v>
      </c>
      <c r="B228" s="173" t="s">
        <v>88</v>
      </c>
      <c r="C228" s="208" t="s">
        <v>4</v>
      </c>
      <c r="D228" s="174" t="s">
        <v>371</v>
      </c>
      <c r="E228" s="174" t="s">
        <v>371</v>
      </c>
      <c r="F228" s="140">
        <v>26262</v>
      </c>
      <c r="G228" s="140">
        <v>8754</v>
      </c>
      <c r="H228" s="140">
        <v>0</v>
      </c>
      <c r="I228" s="140">
        <v>0</v>
      </c>
      <c r="J228" s="140">
        <v>26262</v>
      </c>
      <c r="K228" s="140">
        <v>8754</v>
      </c>
      <c r="L228" s="140">
        <v>0</v>
      </c>
      <c r="M228" s="140">
        <v>0</v>
      </c>
      <c r="N228" s="140">
        <v>26262</v>
      </c>
      <c r="O228" s="140">
        <v>8754</v>
      </c>
      <c r="P228" s="140">
        <v>0</v>
      </c>
      <c r="Q228" s="140">
        <v>0</v>
      </c>
      <c r="R228" s="208" t="s">
        <v>15</v>
      </c>
      <c r="S228" s="208" t="s">
        <v>15</v>
      </c>
      <c r="T228" s="208" t="s">
        <v>15</v>
      </c>
      <c r="U228" s="208" t="s">
        <v>15</v>
      </c>
      <c r="V228" s="208" t="s">
        <v>15</v>
      </c>
      <c r="W228" s="208" t="s">
        <v>15</v>
      </c>
      <c r="X228" s="208" t="s">
        <v>15</v>
      </c>
      <c r="Y228" s="208" t="s">
        <v>15</v>
      </c>
      <c r="Z228" s="208" t="s">
        <v>15</v>
      </c>
      <c r="AA228" s="208" t="s">
        <v>386</v>
      </c>
      <c r="AB228" s="205" t="s">
        <v>89</v>
      </c>
      <c r="AC228" s="208" t="s">
        <v>372</v>
      </c>
    </row>
    <row r="229" spans="1:29" s="114" customFormat="1" ht="114" customHeight="1" x14ac:dyDescent="0.25">
      <c r="A229" s="158" t="s">
        <v>291</v>
      </c>
      <c r="B229" s="85" t="s">
        <v>104</v>
      </c>
      <c r="C229" s="82" t="s">
        <v>4</v>
      </c>
      <c r="D229" s="203" t="s">
        <v>366</v>
      </c>
      <c r="E229" s="203" t="s">
        <v>366</v>
      </c>
      <c r="F229" s="83">
        <v>538319.9</v>
      </c>
      <c r="G229" s="83">
        <v>179440</v>
      </c>
      <c r="H229" s="128">
        <v>0</v>
      </c>
      <c r="I229" s="128">
        <v>0</v>
      </c>
      <c r="J229" s="83">
        <v>538319.9</v>
      </c>
      <c r="K229" s="83">
        <v>179440</v>
      </c>
      <c r="L229" s="128">
        <v>0</v>
      </c>
      <c r="M229" s="128">
        <v>0</v>
      </c>
      <c r="N229" s="128">
        <v>0</v>
      </c>
      <c r="O229" s="128">
        <v>0</v>
      </c>
      <c r="P229" s="128">
        <v>0</v>
      </c>
      <c r="Q229" s="128">
        <v>0</v>
      </c>
      <c r="R229" s="82" t="s">
        <v>15</v>
      </c>
      <c r="S229" s="82" t="s">
        <v>15</v>
      </c>
      <c r="T229" s="82" t="s">
        <v>15</v>
      </c>
      <c r="U229" s="82" t="s">
        <v>15</v>
      </c>
      <c r="V229" s="82" t="s">
        <v>15</v>
      </c>
      <c r="W229" s="82" t="s">
        <v>15</v>
      </c>
      <c r="X229" s="82" t="s">
        <v>15</v>
      </c>
      <c r="Y229" s="82" t="s">
        <v>15</v>
      </c>
      <c r="Z229" s="82" t="s">
        <v>15</v>
      </c>
      <c r="AA229" s="203" t="s">
        <v>105</v>
      </c>
      <c r="AB229" s="203" t="s">
        <v>712</v>
      </c>
      <c r="AC229" s="203" t="s">
        <v>367</v>
      </c>
    </row>
    <row r="230" spans="1:29" s="3" customFormat="1" ht="96" customHeight="1" x14ac:dyDescent="0.25">
      <c r="A230" s="141" t="s">
        <v>292</v>
      </c>
      <c r="B230" s="172" t="s">
        <v>112</v>
      </c>
      <c r="C230" s="208" t="s">
        <v>4</v>
      </c>
      <c r="D230" s="208" t="s">
        <v>345</v>
      </c>
      <c r="E230" s="208" t="s">
        <v>345</v>
      </c>
      <c r="F230" s="140">
        <v>1444087.2</v>
      </c>
      <c r="G230" s="140">
        <v>301282.2</v>
      </c>
      <c r="H230" s="140">
        <v>180080.2</v>
      </c>
      <c r="I230" s="140">
        <v>2888174.4</v>
      </c>
      <c r="J230" s="140">
        <v>1347691.8</v>
      </c>
      <c r="K230" s="140">
        <v>301282.2</v>
      </c>
      <c r="L230" s="140">
        <v>147948.4</v>
      </c>
      <c r="M230" s="140">
        <v>2695383.6</v>
      </c>
      <c r="N230" s="140">
        <v>1347691.8</v>
      </c>
      <c r="O230" s="140">
        <v>301282.2</v>
      </c>
      <c r="P230" s="140">
        <v>147948.4</v>
      </c>
      <c r="Q230" s="140">
        <v>2695383.6</v>
      </c>
      <c r="R230" s="208" t="s">
        <v>15</v>
      </c>
      <c r="S230" s="208" t="s">
        <v>15</v>
      </c>
      <c r="T230" s="208" t="s">
        <v>15</v>
      </c>
      <c r="U230" s="208" t="s">
        <v>15</v>
      </c>
      <c r="V230" s="208" t="s">
        <v>15</v>
      </c>
      <c r="W230" s="208" t="s">
        <v>15</v>
      </c>
      <c r="X230" s="208" t="s">
        <v>15</v>
      </c>
      <c r="Y230" s="208" t="s">
        <v>15</v>
      </c>
      <c r="Z230" s="208" t="s">
        <v>15</v>
      </c>
      <c r="AA230" s="205" t="s">
        <v>1079</v>
      </c>
      <c r="AB230" s="205" t="s">
        <v>713</v>
      </c>
      <c r="AC230" s="205" t="s">
        <v>1080</v>
      </c>
    </row>
    <row r="231" spans="1:29" s="58" customFormat="1" ht="88.5" customHeight="1" x14ac:dyDescent="0.25">
      <c r="A231" s="2" t="s">
        <v>64</v>
      </c>
      <c r="B231" s="4" t="s">
        <v>1055</v>
      </c>
      <c r="C231" s="2" t="s">
        <v>15</v>
      </c>
      <c r="D231" s="2" t="s">
        <v>15</v>
      </c>
      <c r="E231" s="2" t="s">
        <v>15</v>
      </c>
      <c r="F231" s="23">
        <f>F232</f>
        <v>277716.5</v>
      </c>
      <c r="G231" s="23">
        <f t="shared" ref="G231:Q231" si="75">G232</f>
        <v>82389</v>
      </c>
      <c r="H231" s="23">
        <f t="shared" si="75"/>
        <v>10183.200000000001</v>
      </c>
      <c r="I231" s="23">
        <f t="shared" si="75"/>
        <v>0</v>
      </c>
      <c r="J231" s="23">
        <f t="shared" si="75"/>
        <v>0</v>
      </c>
      <c r="K231" s="23">
        <f t="shared" si="75"/>
        <v>0</v>
      </c>
      <c r="L231" s="23">
        <f t="shared" si="75"/>
        <v>0</v>
      </c>
      <c r="M231" s="23">
        <f t="shared" si="75"/>
        <v>0</v>
      </c>
      <c r="N231" s="23">
        <f t="shared" si="75"/>
        <v>0</v>
      </c>
      <c r="O231" s="23">
        <f t="shared" si="75"/>
        <v>0</v>
      </c>
      <c r="P231" s="23">
        <f t="shared" si="75"/>
        <v>0</v>
      </c>
      <c r="Q231" s="23">
        <f t="shared" si="75"/>
        <v>0</v>
      </c>
      <c r="R231" s="2" t="s">
        <v>15</v>
      </c>
      <c r="S231" s="2" t="s">
        <v>15</v>
      </c>
      <c r="T231" s="2" t="s">
        <v>15</v>
      </c>
      <c r="U231" s="2" t="s">
        <v>15</v>
      </c>
      <c r="V231" s="2" t="s">
        <v>15</v>
      </c>
      <c r="W231" s="2" t="s">
        <v>15</v>
      </c>
      <c r="X231" s="2" t="s">
        <v>15</v>
      </c>
      <c r="Y231" s="2" t="s">
        <v>15</v>
      </c>
      <c r="Z231" s="2" t="s">
        <v>15</v>
      </c>
      <c r="AA231" s="2" t="s">
        <v>15</v>
      </c>
      <c r="AB231" s="2" t="s">
        <v>15</v>
      </c>
      <c r="AC231" s="2" t="s">
        <v>15</v>
      </c>
    </row>
    <row r="232" spans="1:29" s="145" customFormat="1" ht="345" customHeight="1" x14ac:dyDescent="0.25">
      <c r="A232" s="208" t="s">
        <v>65</v>
      </c>
      <c r="B232" s="173" t="s">
        <v>1056</v>
      </c>
      <c r="C232" s="208" t="s">
        <v>4</v>
      </c>
      <c r="D232" s="208" t="s">
        <v>377</v>
      </c>
      <c r="E232" s="208" t="s">
        <v>377</v>
      </c>
      <c r="F232" s="156">
        <v>277716.5</v>
      </c>
      <c r="G232" s="156">
        <v>82389</v>
      </c>
      <c r="H232" s="140">
        <v>10183.200000000001</v>
      </c>
      <c r="I232" s="140">
        <v>0</v>
      </c>
      <c r="J232" s="140">
        <v>0</v>
      </c>
      <c r="K232" s="140">
        <v>0</v>
      </c>
      <c r="L232" s="140">
        <v>0</v>
      </c>
      <c r="M232" s="140">
        <v>0</v>
      </c>
      <c r="N232" s="140">
        <v>0</v>
      </c>
      <c r="O232" s="140">
        <v>0</v>
      </c>
      <c r="P232" s="140">
        <v>0</v>
      </c>
      <c r="Q232" s="140">
        <v>0</v>
      </c>
      <c r="R232" s="208">
        <v>2023</v>
      </c>
      <c r="S232" s="208">
        <v>2023</v>
      </c>
      <c r="T232" s="150">
        <v>44666</v>
      </c>
      <c r="U232" s="208" t="s">
        <v>105</v>
      </c>
      <c r="V232" s="208" t="s">
        <v>1057</v>
      </c>
      <c r="W232" s="208" t="s">
        <v>1058</v>
      </c>
      <c r="X232" s="208" t="s">
        <v>1059</v>
      </c>
      <c r="Y232" s="208">
        <v>2023</v>
      </c>
      <c r="Z232" s="152">
        <v>370288.69</v>
      </c>
      <c r="AA232" s="152" t="s">
        <v>1060</v>
      </c>
      <c r="AB232" s="208" t="s">
        <v>1061</v>
      </c>
      <c r="AC232" s="152" t="s">
        <v>1062</v>
      </c>
    </row>
    <row r="233" spans="1:29" ht="57" customHeight="1" x14ac:dyDescent="0.25">
      <c r="A233" s="2" t="s">
        <v>29</v>
      </c>
      <c r="B233" s="4" t="s">
        <v>31</v>
      </c>
      <c r="C233" s="2" t="s">
        <v>15</v>
      </c>
      <c r="D233" s="2" t="s">
        <v>15</v>
      </c>
      <c r="E233" s="2" t="s">
        <v>15</v>
      </c>
      <c r="F233" s="23">
        <f>F234</f>
        <v>351012.81600000005</v>
      </c>
      <c r="G233" s="23">
        <f t="shared" ref="G233:Q233" si="76">G234</f>
        <v>0</v>
      </c>
      <c r="H233" s="23">
        <f t="shared" si="76"/>
        <v>0</v>
      </c>
      <c r="I233" s="23">
        <f t="shared" si="76"/>
        <v>0</v>
      </c>
      <c r="J233" s="23">
        <f t="shared" si="76"/>
        <v>19677.900000000001</v>
      </c>
      <c r="K233" s="23">
        <f t="shared" si="76"/>
        <v>0</v>
      </c>
      <c r="L233" s="23">
        <f t="shared" si="76"/>
        <v>0</v>
      </c>
      <c r="M233" s="23">
        <f t="shared" si="76"/>
        <v>0</v>
      </c>
      <c r="N233" s="23">
        <f t="shared" si="76"/>
        <v>0</v>
      </c>
      <c r="O233" s="23">
        <f t="shared" si="76"/>
        <v>0</v>
      </c>
      <c r="P233" s="23">
        <f t="shared" si="76"/>
        <v>0</v>
      </c>
      <c r="Q233" s="23">
        <f t="shared" si="76"/>
        <v>0</v>
      </c>
      <c r="R233" s="2" t="s">
        <v>15</v>
      </c>
      <c r="S233" s="2" t="s">
        <v>15</v>
      </c>
      <c r="T233" s="2" t="s">
        <v>15</v>
      </c>
      <c r="U233" s="2" t="s">
        <v>15</v>
      </c>
      <c r="V233" s="2" t="s">
        <v>15</v>
      </c>
      <c r="W233" s="2" t="s">
        <v>15</v>
      </c>
      <c r="X233" s="2" t="s">
        <v>15</v>
      </c>
      <c r="Y233" s="2" t="s">
        <v>15</v>
      </c>
      <c r="Z233" s="2" t="s">
        <v>15</v>
      </c>
      <c r="AA233" s="2" t="s">
        <v>15</v>
      </c>
      <c r="AB233" s="2" t="s">
        <v>15</v>
      </c>
      <c r="AC233" s="2" t="s">
        <v>15</v>
      </c>
    </row>
    <row r="234" spans="1:29" s="71" customFormat="1" ht="66.75" customHeight="1" x14ac:dyDescent="0.25">
      <c r="A234" s="13" t="s">
        <v>1</v>
      </c>
      <c r="B234" s="35" t="s">
        <v>93</v>
      </c>
      <c r="C234" s="13" t="s">
        <v>15</v>
      </c>
      <c r="D234" s="13" t="s">
        <v>15</v>
      </c>
      <c r="E234" s="13" t="s">
        <v>15</v>
      </c>
      <c r="F234" s="69">
        <f>SUM(F235:F237)</f>
        <v>351012.81600000005</v>
      </c>
      <c r="G234" s="69">
        <f t="shared" ref="G234:Q234" si="77">SUM(G235:G237)</f>
        <v>0</v>
      </c>
      <c r="H234" s="69">
        <f t="shared" si="77"/>
        <v>0</v>
      </c>
      <c r="I234" s="69">
        <f t="shared" si="77"/>
        <v>0</v>
      </c>
      <c r="J234" s="69">
        <f t="shared" si="77"/>
        <v>19677.900000000001</v>
      </c>
      <c r="K234" s="69">
        <f t="shared" si="77"/>
        <v>0</v>
      </c>
      <c r="L234" s="69">
        <f t="shared" si="77"/>
        <v>0</v>
      </c>
      <c r="M234" s="69">
        <f t="shared" si="77"/>
        <v>0</v>
      </c>
      <c r="N234" s="69">
        <f t="shared" si="77"/>
        <v>0</v>
      </c>
      <c r="O234" s="69">
        <f t="shared" si="77"/>
        <v>0</v>
      </c>
      <c r="P234" s="69">
        <f t="shared" si="77"/>
        <v>0</v>
      </c>
      <c r="Q234" s="69">
        <f t="shared" si="77"/>
        <v>0</v>
      </c>
      <c r="R234" s="13" t="s">
        <v>15</v>
      </c>
      <c r="S234" s="13" t="s">
        <v>15</v>
      </c>
      <c r="T234" s="13" t="s">
        <v>15</v>
      </c>
      <c r="U234" s="13" t="s">
        <v>15</v>
      </c>
      <c r="V234" s="13" t="s">
        <v>15</v>
      </c>
      <c r="W234" s="13" t="s">
        <v>15</v>
      </c>
      <c r="X234" s="13" t="s">
        <v>15</v>
      </c>
      <c r="Y234" s="13" t="s">
        <v>15</v>
      </c>
      <c r="Z234" s="13" t="s">
        <v>15</v>
      </c>
      <c r="AA234" s="13" t="s">
        <v>15</v>
      </c>
      <c r="AB234" s="13" t="s">
        <v>15</v>
      </c>
      <c r="AC234" s="13" t="s">
        <v>15</v>
      </c>
    </row>
    <row r="235" spans="1:29" s="47" customFormat="1" ht="101.25" customHeight="1" x14ac:dyDescent="0.25">
      <c r="A235" s="82" t="s">
        <v>25</v>
      </c>
      <c r="B235" s="85" t="s">
        <v>94</v>
      </c>
      <c r="C235" s="82" t="s">
        <v>39</v>
      </c>
      <c r="D235" s="113" t="s">
        <v>371</v>
      </c>
      <c r="E235" s="113" t="s">
        <v>371</v>
      </c>
      <c r="F235" s="83">
        <v>13449.402</v>
      </c>
      <c r="G235" s="83">
        <v>0</v>
      </c>
      <c r="H235" s="83">
        <v>0</v>
      </c>
      <c r="I235" s="83">
        <v>0</v>
      </c>
      <c r="J235" s="83">
        <v>0</v>
      </c>
      <c r="K235" s="83">
        <v>0</v>
      </c>
      <c r="L235" s="83">
        <v>0</v>
      </c>
      <c r="M235" s="83">
        <v>0</v>
      </c>
      <c r="N235" s="83">
        <v>0</v>
      </c>
      <c r="O235" s="83">
        <v>0</v>
      </c>
      <c r="P235" s="83">
        <v>0</v>
      </c>
      <c r="Q235" s="83">
        <v>0</v>
      </c>
      <c r="R235" s="82" t="s">
        <v>15</v>
      </c>
      <c r="S235" s="82" t="s">
        <v>15</v>
      </c>
      <c r="T235" s="82" t="s">
        <v>15</v>
      </c>
      <c r="U235" s="82" t="s">
        <v>15</v>
      </c>
      <c r="V235" s="82" t="s">
        <v>15</v>
      </c>
      <c r="W235" s="82" t="s">
        <v>15</v>
      </c>
      <c r="X235" s="82" t="s">
        <v>15</v>
      </c>
      <c r="Y235" s="82" t="s">
        <v>15</v>
      </c>
      <c r="Z235" s="82" t="s">
        <v>15</v>
      </c>
      <c r="AA235" s="242" t="s">
        <v>387</v>
      </c>
      <c r="AB235" s="219" t="s">
        <v>312</v>
      </c>
      <c r="AC235" s="203" t="s">
        <v>77</v>
      </c>
    </row>
    <row r="236" spans="1:29" s="47" customFormat="1" ht="105.75" customHeight="1" x14ac:dyDescent="0.25">
      <c r="A236" s="82" t="s">
        <v>78</v>
      </c>
      <c r="B236" s="85" t="s">
        <v>313</v>
      </c>
      <c r="C236" s="82" t="s">
        <v>39</v>
      </c>
      <c r="D236" s="113" t="s">
        <v>371</v>
      </c>
      <c r="E236" s="113" t="s">
        <v>371</v>
      </c>
      <c r="F236" s="83">
        <v>318302.51400000002</v>
      </c>
      <c r="G236" s="83">
        <v>0</v>
      </c>
      <c r="H236" s="83">
        <v>0</v>
      </c>
      <c r="I236" s="83">
        <v>0</v>
      </c>
      <c r="J236" s="83">
        <v>0</v>
      </c>
      <c r="K236" s="83">
        <v>0</v>
      </c>
      <c r="L236" s="83">
        <v>0</v>
      </c>
      <c r="M236" s="83">
        <v>0</v>
      </c>
      <c r="N236" s="83">
        <v>0</v>
      </c>
      <c r="O236" s="83">
        <v>0</v>
      </c>
      <c r="P236" s="83">
        <v>0</v>
      </c>
      <c r="Q236" s="83">
        <v>0</v>
      </c>
      <c r="R236" s="82" t="s">
        <v>15</v>
      </c>
      <c r="S236" s="82" t="s">
        <v>15</v>
      </c>
      <c r="T236" s="82" t="s">
        <v>15</v>
      </c>
      <c r="U236" s="82" t="s">
        <v>15</v>
      </c>
      <c r="V236" s="82" t="s">
        <v>15</v>
      </c>
      <c r="W236" s="82" t="s">
        <v>15</v>
      </c>
      <c r="X236" s="82" t="s">
        <v>15</v>
      </c>
      <c r="Y236" s="82" t="s">
        <v>15</v>
      </c>
      <c r="Z236" s="82" t="s">
        <v>15</v>
      </c>
      <c r="AA236" s="243"/>
      <c r="AB236" s="251"/>
      <c r="AC236" s="203" t="s">
        <v>77</v>
      </c>
    </row>
    <row r="237" spans="1:29" s="47" customFormat="1" ht="136.5" customHeight="1" x14ac:dyDescent="0.25">
      <c r="A237" s="82" t="s">
        <v>86</v>
      </c>
      <c r="B237" s="85" t="s">
        <v>95</v>
      </c>
      <c r="C237" s="82" t="s">
        <v>39</v>
      </c>
      <c r="D237" s="113" t="s">
        <v>371</v>
      </c>
      <c r="E237" s="113" t="s">
        <v>371</v>
      </c>
      <c r="F237" s="83">
        <v>19260.900000000001</v>
      </c>
      <c r="G237" s="83">
        <v>0</v>
      </c>
      <c r="H237" s="83">
        <v>0</v>
      </c>
      <c r="I237" s="83">
        <v>0</v>
      </c>
      <c r="J237" s="83">
        <v>19677.900000000001</v>
      </c>
      <c r="K237" s="83">
        <v>0</v>
      </c>
      <c r="L237" s="83">
        <v>0</v>
      </c>
      <c r="M237" s="83">
        <v>0</v>
      </c>
      <c r="N237" s="83">
        <v>0</v>
      </c>
      <c r="O237" s="83">
        <v>0</v>
      </c>
      <c r="P237" s="83">
        <v>0</v>
      </c>
      <c r="Q237" s="83">
        <v>0</v>
      </c>
      <c r="R237" s="82" t="s">
        <v>15</v>
      </c>
      <c r="S237" s="82" t="s">
        <v>15</v>
      </c>
      <c r="T237" s="82" t="s">
        <v>15</v>
      </c>
      <c r="U237" s="82" t="s">
        <v>15</v>
      </c>
      <c r="V237" s="82" t="s">
        <v>15</v>
      </c>
      <c r="W237" s="82" t="s">
        <v>15</v>
      </c>
      <c r="X237" s="82" t="s">
        <v>15</v>
      </c>
      <c r="Y237" s="82" t="s">
        <v>15</v>
      </c>
      <c r="Z237" s="82" t="s">
        <v>15</v>
      </c>
      <c r="AA237" s="243"/>
      <c r="AB237" s="251"/>
      <c r="AC237" s="203" t="s">
        <v>77</v>
      </c>
    </row>
    <row r="238" spans="1:29" s="48" customFormat="1" ht="81" customHeight="1" x14ac:dyDescent="0.3">
      <c r="A238" s="24" t="s">
        <v>63</v>
      </c>
      <c r="B238" s="33" t="s">
        <v>72</v>
      </c>
      <c r="C238" s="25" t="s">
        <v>15</v>
      </c>
      <c r="D238" s="25" t="s">
        <v>15</v>
      </c>
      <c r="E238" s="25" t="s">
        <v>15</v>
      </c>
      <c r="F238" s="26">
        <f>F239+F242</f>
        <v>1224309.6000000001</v>
      </c>
      <c r="G238" s="26">
        <f t="shared" ref="G238:Q238" si="78">G239+G242</f>
        <v>1200</v>
      </c>
      <c r="H238" s="26">
        <f t="shared" si="78"/>
        <v>0</v>
      </c>
      <c r="I238" s="26">
        <f t="shared" si="78"/>
        <v>0</v>
      </c>
      <c r="J238" s="26">
        <f t="shared" si="78"/>
        <v>1199109.6000000001</v>
      </c>
      <c r="K238" s="26">
        <f t="shared" si="78"/>
        <v>200</v>
      </c>
      <c r="L238" s="26">
        <f t="shared" si="78"/>
        <v>0</v>
      </c>
      <c r="M238" s="26">
        <f t="shared" si="78"/>
        <v>0</v>
      </c>
      <c r="N238" s="26">
        <f t="shared" si="78"/>
        <v>0</v>
      </c>
      <c r="O238" s="26">
        <f t="shared" si="78"/>
        <v>0</v>
      </c>
      <c r="P238" s="26">
        <f t="shared" si="78"/>
        <v>0</v>
      </c>
      <c r="Q238" s="26">
        <f t="shared" si="78"/>
        <v>0</v>
      </c>
      <c r="R238" s="25" t="s">
        <v>15</v>
      </c>
      <c r="S238" s="25" t="s">
        <v>15</v>
      </c>
      <c r="T238" s="25" t="s">
        <v>15</v>
      </c>
      <c r="U238" s="25" t="s">
        <v>15</v>
      </c>
      <c r="V238" s="25" t="s">
        <v>15</v>
      </c>
      <c r="W238" s="25" t="s">
        <v>15</v>
      </c>
      <c r="X238" s="25" t="s">
        <v>15</v>
      </c>
      <c r="Y238" s="25" t="s">
        <v>15</v>
      </c>
      <c r="Z238" s="25" t="s">
        <v>15</v>
      </c>
      <c r="AA238" s="25" t="s">
        <v>15</v>
      </c>
      <c r="AB238" s="25" t="s">
        <v>15</v>
      </c>
      <c r="AC238" s="25" t="s">
        <v>15</v>
      </c>
    </row>
    <row r="239" spans="1:29" s="18" customFormat="1" ht="35.25" customHeight="1" x14ac:dyDescent="0.25">
      <c r="A239" s="39" t="s">
        <v>2</v>
      </c>
      <c r="B239" s="55" t="s">
        <v>91</v>
      </c>
      <c r="C239" s="5" t="s">
        <v>15</v>
      </c>
      <c r="D239" s="5" t="s">
        <v>15</v>
      </c>
      <c r="E239" s="5" t="s">
        <v>15</v>
      </c>
      <c r="F239" s="11">
        <f>F240</f>
        <v>30000</v>
      </c>
      <c r="G239" s="11">
        <f t="shared" ref="G239:Q240" si="79">G240</f>
        <v>1200</v>
      </c>
      <c r="H239" s="11">
        <f t="shared" si="79"/>
        <v>0</v>
      </c>
      <c r="I239" s="11">
        <f t="shared" si="79"/>
        <v>0</v>
      </c>
      <c r="J239" s="11">
        <f t="shared" si="79"/>
        <v>4800</v>
      </c>
      <c r="K239" s="11">
        <f t="shared" si="79"/>
        <v>200</v>
      </c>
      <c r="L239" s="11">
        <f t="shared" si="79"/>
        <v>0</v>
      </c>
      <c r="M239" s="11">
        <f t="shared" si="79"/>
        <v>0</v>
      </c>
      <c r="N239" s="11">
        <f t="shared" si="79"/>
        <v>0</v>
      </c>
      <c r="O239" s="11">
        <f t="shared" si="79"/>
        <v>0</v>
      </c>
      <c r="P239" s="11">
        <f t="shared" si="79"/>
        <v>0</v>
      </c>
      <c r="Q239" s="11">
        <f t="shared" si="79"/>
        <v>0</v>
      </c>
      <c r="R239" s="5" t="s">
        <v>15</v>
      </c>
      <c r="S239" s="5" t="s">
        <v>15</v>
      </c>
      <c r="T239" s="5" t="s">
        <v>15</v>
      </c>
      <c r="U239" s="5" t="s">
        <v>15</v>
      </c>
      <c r="V239" s="5" t="s">
        <v>15</v>
      </c>
      <c r="W239" s="5" t="s">
        <v>15</v>
      </c>
      <c r="X239" s="5" t="s">
        <v>15</v>
      </c>
      <c r="Y239" s="5" t="s">
        <v>15</v>
      </c>
      <c r="Z239" s="5" t="s">
        <v>15</v>
      </c>
      <c r="AA239" s="5" t="s">
        <v>15</v>
      </c>
      <c r="AB239" s="5" t="s">
        <v>15</v>
      </c>
      <c r="AC239" s="5" t="s">
        <v>15</v>
      </c>
    </row>
    <row r="240" spans="1:29" s="19" customFormat="1" ht="52.5" customHeight="1" x14ac:dyDescent="0.25">
      <c r="A240" s="2" t="s">
        <v>1</v>
      </c>
      <c r="B240" s="4" t="s">
        <v>263</v>
      </c>
      <c r="C240" s="9" t="s">
        <v>15</v>
      </c>
      <c r="D240" s="9" t="s">
        <v>15</v>
      </c>
      <c r="E240" s="9" t="s">
        <v>15</v>
      </c>
      <c r="F240" s="8">
        <f>F241</f>
        <v>30000</v>
      </c>
      <c r="G240" s="8">
        <f t="shared" si="79"/>
        <v>1200</v>
      </c>
      <c r="H240" s="8">
        <f t="shared" si="79"/>
        <v>0</v>
      </c>
      <c r="I240" s="8">
        <f t="shared" si="79"/>
        <v>0</v>
      </c>
      <c r="J240" s="8">
        <f t="shared" si="79"/>
        <v>4800</v>
      </c>
      <c r="K240" s="8">
        <f t="shared" si="79"/>
        <v>200</v>
      </c>
      <c r="L240" s="8">
        <f t="shared" si="79"/>
        <v>0</v>
      </c>
      <c r="M240" s="8">
        <f t="shared" si="79"/>
        <v>0</v>
      </c>
      <c r="N240" s="8">
        <f t="shared" si="79"/>
        <v>0</v>
      </c>
      <c r="O240" s="8">
        <f t="shared" si="79"/>
        <v>0</v>
      </c>
      <c r="P240" s="8">
        <f t="shared" si="79"/>
        <v>0</v>
      </c>
      <c r="Q240" s="8">
        <f t="shared" si="79"/>
        <v>0</v>
      </c>
      <c r="R240" s="9" t="s">
        <v>15</v>
      </c>
      <c r="S240" s="9" t="s">
        <v>15</v>
      </c>
      <c r="T240" s="9" t="s">
        <v>15</v>
      </c>
      <c r="U240" s="9" t="s">
        <v>15</v>
      </c>
      <c r="V240" s="9" t="s">
        <v>15</v>
      </c>
      <c r="W240" s="9" t="s">
        <v>15</v>
      </c>
      <c r="X240" s="9" t="s">
        <v>15</v>
      </c>
      <c r="Y240" s="9" t="s">
        <v>15</v>
      </c>
      <c r="Z240" s="9" t="s">
        <v>15</v>
      </c>
      <c r="AA240" s="9" t="s">
        <v>15</v>
      </c>
      <c r="AB240" s="9" t="s">
        <v>15</v>
      </c>
      <c r="AC240" s="9" t="s">
        <v>15</v>
      </c>
    </row>
    <row r="241" spans="1:29" s="38" customFormat="1" ht="228.75" customHeight="1" x14ac:dyDescent="0.25">
      <c r="A241" s="158" t="s">
        <v>25</v>
      </c>
      <c r="B241" s="87" t="s">
        <v>9</v>
      </c>
      <c r="C241" s="203" t="s">
        <v>4</v>
      </c>
      <c r="D241" s="82" t="s">
        <v>688</v>
      </c>
      <c r="E241" s="82" t="s">
        <v>688</v>
      </c>
      <c r="F241" s="206">
        <v>30000</v>
      </c>
      <c r="G241" s="206">
        <v>1200</v>
      </c>
      <c r="H241" s="206">
        <v>0</v>
      </c>
      <c r="I241" s="206">
        <v>0</v>
      </c>
      <c r="J241" s="206">
        <v>4800</v>
      </c>
      <c r="K241" s="206">
        <v>200</v>
      </c>
      <c r="L241" s="206">
        <v>0</v>
      </c>
      <c r="M241" s="206">
        <v>0</v>
      </c>
      <c r="N241" s="206">
        <v>0</v>
      </c>
      <c r="O241" s="206">
        <v>0</v>
      </c>
      <c r="P241" s="206">
        <v>0</v>
      </c>
      <c r="Q241" s="206">
        <v>0</v>
      </c>
      <c r="R241" s="82" t="s">
        <v>15</v>
      </c>
      <c r="S241" s="82" t="s">
        <v>15</v>
      </c>
      <c r="T241" s="82" t="s">
        <v>15</v>
      </c>
      <c r="U241" s="82" t="s">
        <v>15</v>
      </c>
      <c r="V241" s="82" t="s">
        <v>15</v>
      </c>
      <c r="W241" s="82" t="s">
        <v>15</v>
      </c>
      <c r="X241" s="82" t="s">
        <v>15</v>
      </c>
      <c r="Y241" s="82" t="s">
        <v>15</v>
      </c>
      <c r="Z241" s="82" t="s">
        <v>15</v>
      </c>
      <c r="AA241" s="203" t="s">
        <v>358</v>
      </c>
      <c r="AB241" s="203" t="s">
        <v>356</v>
      </c>
      <c r="AC241" s="203" t="s">
        <v>357</v>
      </c>
    </row>
    <row r="242" spans="1:29" s="21" customFormat="1" ht="55.5" customHeight="1" x14ac:dyDescent="0.25">
      <c r="A242" s="2" t="s">
        <v>29</v>
      </c>
      <c r="B242" s="4" t="s">
        <v>31</v>
      </c>
      <c r="C242" s="7" t="s">
        <v>15</v>
      </c>
      <c r="D242" s="7" t="s">
        <v>15</v>
      </c>
      <c r="E242" s="7" t="s">
        <v>15</v>
      </c>
      <c r="F242" s="17">
        <f>F243</f>
        <v>1194309.6000000001</v>
      </c>
      <c r="G242" s="17">
        <f t="shared" ref="G242:Q242" si="80">G243</f>
        <v>0</v>
      </c>
      <c r="H242" s="17">
        <f t="shared" si="80"/>
        <v>0</v>
      </c>
      <c r="I242" s="17">
        <f t="shared" si="80"/>
        <v>0</v>
      </c>
      <c r="J242" s="17">
        <f t="shared" si="80"/>
        <v>1194309.6000000001</v>
      </c>
      <c r="K242" s="17">
        <f t="shared" si="80"/>
        <v>0</v>
      </c>
      <c r="L242" s="17">
        <f t="shared" si="80"/>
        <v>0</v>
      </c>
      <c r="M242" s="17">
        <f t="shared" si="80"/>
        <v>0</v>
      </c>
      <c r="N242" s="17">
        <f t="shared" si="80"/>
        <v>0</v>
      </c>
      <c r="O242" s="17">
        <f t="shared" si="80"/>
        <v>0</v>
      </c>
      <c r="P242" s="17">
        <f t="shared" si="80"/>
        <v>0</v>
      </c>
      <c r="Q242" s="17">
        <f t="shared" si="80"/>
        <v>0</v>
      </c>
      <c r="R242" s="7" t="s">
        <v>15</v>
      </c>
      <c r="S242" s="7" t="s">
        <v>15</v>
      </c>
      <c r="T242" s="7" t="s">
        <v>15</v>
      </c>
      <c r="U242" s="7" t="s">
        <v>15</v>
      </c>
      <c r="V242" s="7" t="s">
        <v>15</v>
      </c>
      <c r="W242" s="7" t="s">
        <v>15</v>
      </c>
      <c r="X242" s="7" t="s">
        <v>15</v>
      </c>
      <c r="Y242" s="7" t="s">
        <v>15</v>
      </c>
      <c r="Z242" s="7" t="s">
        <v>15</v>
      </c>
      <c r="AA242" s="7" t="s">
        <v>15</v>
      </c>
      <c r="AB242" s="7" t="s">
        <v>15</v>
      </c>
      <c r="AC242" s="7" t="s">
        <v>15</v>
      </c>
    </row>
    <row r="243" spans="1:29" s="71" customFormat="1" ht="108" customHeight="1" x14ac:dyDescent="0.25">
      <c r="A243" s="72" t="s">
        <v>1</v>
      </c>
      <c r="B243" s="46" t="s">
        <v>14</v>
      </c>
      <c r="C243" s="36" t="s">
        <v>15</v>
      </c>
      <c r="D243" s="36" t="s">
        <v>15</v>
      </c>
      <c r="E243" s="36" t="s">
        <v>15</v>
      </c>
      <c r="F243" s="20">
        <f>F244</f>
        <v>1194309.6000000001</v>
      </c>
      <c r="G243" s="20">
        <f t="shared" ref="G243:Q243" si="81">G244</f>
        <v>0</v>
      </c>
      <c r="H243" s="20">
        <f t="shared" si="81"/>
        <v>0</v>
      </c>
      <c r="I243" s="20">
        <f t="shared" si="81"/>
        <v>0</v>
      </c>
      <c r="J243" s="20">
        <f t="shared" si="81"/>
        <v>1194309.6000000001</v>
      </c>
      <c r="K243" s="20">
        <f t="shared" si="81"/>
        <v>0</v>
      </c>
      <c r="L243" s="20">
        <f t="shared" si="81"/>
        <v>0</v>
      </c>
      <c r="M243" s="20">
        <f t="shared" si="81"/>
        <v>0</v>
      </c>
      <c r="N243" s="20">
        <f t="shared" si="81"/>
        <v>0</v>
      </c>
      <c r="O243" s="20">
        <f t="shared" si="81"/>
        <v>0</v>
      </c>
      <c r="P243" s="20">
        <f t="shared" si="81"/>
        <v>0</v>
      </c>
      <c r="Q243" s="20">
        <f t="shared" si="81"/>
        <v>0</v>
      </c>
      <c r="R243" s="36" t="s">
        <v>15</v>
      </c>
      <c r="S243" s="36" t="s">
        <v>15</v>
      </c>
      <c r="T243" s="36" t="s">
        <v>15</v>
      </c>
      <c r="U243" s="36" t="s">
        <v>15</v>
      </c>
      <c r="V243" s="36" t="s">
        <v>15</v>
      </c>
      <c r="W243" s="36" t="s">
        <v>15</v>
      </c>
      <c r="X243" s="36" t="s">
        <v>15</v>
      </c>
      <c r="Y243" s="36" t="s">
        <v>15</v>
      </c>
      <c r="Z243" s="36" t="s">
        <v>15</v>
      </c>
      <c r="AA243" s="36" t="s">
        <v>15</v>
      </c>
      <c r="AB243" s="36" t="s">
        <v>15</v>
      </c>
      <c r="AC243" s="36" t="s">
        <v>15</v>
      </c>
    </row>
    <row r="244" spans="1:29" s="47" customFormat="1" ht="120.75" customHeight="1" x14ac:dyDescent="0.25">
      <c r="A244" s="111" t="s">
        <v>25</v>
      </c>
      <c r="B244" s="87" t="s">
        <v>13</v>
      </c>
      <c r="C244" s="203" t="s">
        <v>6</v>
      </c>
      <c r="D244" s="82" t="s">
        <v>688</v>
      </c>
      <c r="E244" s="82" t="s">
        <v>688</v>
      </c>
      <c r="F244" s="112">
        <v>1194309.6000000001</v>
      </c>
      <c r="G244" s="112">
        <v>0</v>
      </c>
      <c r="H244" s="112">
        <v>0</v>
      </c>
      <c r="I244" s="112">
        <v>0</v>
      </c>
      <c r="J244" s="112">
        <v>1194309.6000000001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0</v>
      </c>
      <c r="Q244" s="112">
        <v>0</v>
      </c>
      <c r="R244" s="82" t="s">
        <v>15</v>
      </c>
      <c r="S244" s="82" t="s">
        <v>15</v>
      </c>
      <c r="T244" s="82" t="s">
        <v>15</v>
      </c>
      <c r="U244" s="82" t="s">
        <v>15</v>
      </c>
      <c r="V244" s="82" t="s">
        <v>15</v>
      </c>
      <c r="W244" s="82" t="s">
        <v>15</v>
      </c>
      <c r="X244" s="82" t="s">
        <v>15</v>
      </c>
      <c r="Y244" s="82" t="s">
        <v>15</v>
      </c>
      <c r="Z244" s="82" t="s">
        <v>15</v>
      </c>
      <c r="AA244" s="204" t="s">
        <v>12</v>
      </c>
      <c r="AB244" s="204" t="s">
        <v>714</v>
      </c>
      <c r="AC244" s="216" t="s">
        <v>15</v>
      </c>
    </row>
    <row r="245" spans="1:29" s="49" customFormat="1" ht="102.75" customHeight="1" x14ac:dyDescent="0.3">
      <c r="A245" s="27" t="s">
        <v>64</v>
      </c>
      <c r="B245" s="33" t="s">
        <v>1159</v>
      </c>
      <c r="C245" s="24" t="s">
        <v>15</v>
      </c>
      <c r="D245" s="24" t="s">
        <v>15</v>
      </c>
      <c r="E245" s="24" t="s">
        <v>15</v>
      </c>
      <c r="F245" s="26">
        <f>F246</f>
        <v>2835</v>
      </c>
      <c r="G245" s="26">
        <f t="shared" ref="G245:Q245" si="82">G246</f>
        <v>945</v>
      </c>
      <c r="H245" s="26">
        <f t="shared" si="82"/>
        <v>0</v>
      </c>
      <c r="I245" s="26">
        <f t="shared" si="82"/>
        <v>0</v>
      </c>
      <c r="J245" s="26">
        <f t="shared" si="82"/>
        <v>2955</v>
      </c>
      <c r="K245" s="26">
        <f t="shared" si="82"/>
        <v>985</v>
      </c>
      <c r="L245" s="26">
        <f t="shared" si="82"/>
        <v>0</v>
      </c>
      <c r="M245" s="26">
        <f t="shared" si="82"/>
        <v>0</v>
      </c>
      <c r="N245" s="26">
        <f t="shared" si="82"/>
        <v>0</v>
      </c>
      <c r="O245" s="26">
        <f t="shared" si="82"/>
        <v>0</v>
      </c>
      <c r="P245" s="26">
        <f t="shared" si="82"/>
        <v>0</v>
      </c>
      <c r="Q245" s="26">
        <f t="shared" si="82"/>
        <v>0</v>
      </c>
      <c r="R245" s="24" t="s">
        <v>15</v>
      </c>
      <c r="S245" s="24" t="s">
        <v>15</v>
      </c>
      <c r="T245" s="24" t="s">
        <v>15</v>
      </c>
      <c r="U245" s="24" t="s">
        <v>15</v>
      </c>
      <c r="V245" s="24" t="s">
        <v>15</v>
      </c>
      <c r="W245" s="24" t="s">
        <v>15</v>
      </c>
      <c r="X245" s="24" t="s">
        <v>15</v>
      </c>
      <c r="Y245" s="24" t="s">
        <v>15</v>
      </c>
      <c r="Z245" s="24" t="s">
        <v>15</v>
      </c>
      <c r="AA245" s="24" t="s">
        <v>15</v>
      </c>
      <c r="AB245" s="24" t="s">
        <v>15</v>
      </c>
      <c r="AC245" s="24" t="s">
        <v>15</v>
      </c>
    </row>
    <row r="246" spans="1:29" s="21" customFormat="1" ht="55.5" customHeight="1" x14ac:dyDescent="0.25">
      <c r="A246" s="2" t="s">
        <v>2</v>
      </c>
      <c r="B246" s="4" t="s">
        <v>31</v>
      </c>
      <c r="C246" s="7" t="s">
        <v>15</v>
      </c>
      <c r="D246" s="7" t="s">
        <v>15</v>
      </c>
      <c r="E246" s="7" t="s">
        <v>15</v>
      </c>
      <c r="F246" s="17">
        <f>F247</f>
        <v>2835</v>
      </c>
      <c r="G246" s="17">
        <f t="shared" ref="G246:Q246" si="83">G247</f>
        <v>945</v>
      </c>
      <c r="H246" s="17">
        <f t="shared" si="83"/>
        <v>0</v>
      </c>
      <c r="I246" s="17">
        <f t="shared" si="83"/>
        <v>0</v>
      </c>
      <c r="J246" s="17">
        <f t="shared" si="83"/>
        <v>2955</v>
      </c>
      <c r="K246" s="17">
        <f t="shared" si="83"/>
        <v>985</v>
      </c>
      <c r="L246" s="17">
        <f t="shared" si="83"/>
        <v>0</v>
      </c>
      <c r="M246" s="17">
        <f t="shared" si="83"/>
        <v>0</v>
      </c>
      <c r="N246" s="17">
        <f t="shared" si="83"/>
        <v>0</v>
      </c>
      <c r="O246" s="17">
        <f t="shared" si="83"/>
        <v>0</v>
      </c>
      <c r="P246" s="17">
        <f t="shared" si="83"/>
        <v>0</v>
      </c>
      <c r="Q246" s="17">
        <f t="shared" si="83"/>
        <v>0</v>
      </c>
      <c r="R246" s="7" t="s">
        <v>15</v>
      </c>
      <c r="S246" s="7" t="s">
        <v>15</v>
      </c>
      <c r="T246" s="7" t="s">
        <v>15</v>
      </c>
      <c r="U246" s="7" t="s">
        <v>15</v>
      </c>
      <c r="V246" s="7" t="s">
        <v>15</v>
      </c>
      <c r="W246" s="7" t="s">
        <v>15</v>
      </c>
      <c r="X246" s="7" t="s">
        <v>15</v>
      </c>
      <c r="Y246" s="7" t="s">
        <v>15</v>
      </c>
      <c r="Z246" s="7" t="s">
        <v>15</v>
      </c>
      <c r="AA246" s="7" t="s">
        <v>15</v>
      </c>
      <c r="AB246" s="7" t="s">
        <v>15</v>
      </c>
      <c r="AC246" s="7" t="s">
        <v>15</v>
      </c>
    </row>
    <row r="247" spans="1:29" s="71" customFormat="1" ht="108" customHeight="1" x14ac:dyDescent="0.25">
      <c r="A247" s="72" t="s">
        <v>1</v>
      </c>
      <c r="B247" s="46" t="s">
        <v>10</v>
      </c>
      <c r="C247" s="36" t="s">
        <v>15</v>
      </c>
      <c r="D247" s="36" t="s">
        <v>15</v>
      </c>
      <c r="E247" s="36" t="s">
        <v>15</v>
      </c>
      <c r="F247" s="20">
        <f>F248</f>
        <v>2835</v>
      </c>
      <c r="G247" s="20">
        <f t="shared" ref="G247:Q247" si="84">G248</f>
        <v>945</v>
      </c>
      <c r="H247" s="20">
        <f t="shared" si="84"/>
        <v>0</v>
      </c>
      <c r="I247" s="20">
        <f t="shared" si="84"/>
        <v>0</v>
      </c>
      <c r="J247" s="20">
        <f t="shared" si="84"/>
        <v>2955</v>
      </c>
      <c r="K247" s="20">
        <f t="shared" si="84"/>
        <v>985</v>
      </c>
      <c r="L247" s="20">
        <f t="shared" si="84"/>
        <v>0</v>
      </c>
      <c r="M247" s="20">
        <f t="shared" si="84"/>
        <v>0</v>
      </c>
      <c r="N247" s="20">
        <f t="shared" si="84"/>
        <v>0</v>
      </c>
      <c r="O247" s="20">
        <f t="shared" si="84"/>
        <v>0</v>
      </c>
      <c r="P247" s="20">
        <f t="shared" si="84"/>
        <v>0</v>
      </c>
      <c r="Q247" s="20">
        <f t="shared" si="84"/>
        <v>0</v>
      </c>
      <c r="R247" s="36" t="s">
        <v>15</v>
      </c>
      <c r="S247" s="36" t="s">
        <v>15</v>
      </c>
      <c r="T247" s="36" t="s">
        <v>15</v>
      </c>
      <c r="U247" s="36" t="s">
        <v>15</v>
      </c>
      <c r="V247" s="36" t="s">
        <v>15</v>
      </c>
      <c r="W247" s="36" t="s">
        <v>15</v>
      </c>
      <c r="X247" s="36" t="s">
        <v>15</v>
      </c>
      <c r="Y247" s="36" t="s">
        <v>15</v>
      </c>
      <c r="Z247" s="36" t="s">
        <v>15</v>
      </c>
      <c r="AA247" s="36" t="s">
        <v>15</v>
      </c>
      <c r="AB247" s="36" t="s">
        <v>15</v>
      </c>
      <c r="AC247" s="36" t="s">
        <v>15</v>
      </c>
    </row>
    <row r="248" spans="1:29" s="47" customFormat="1" ht="241.5" customHeight="1" x14ac:dyDescent="0.25">
      <c r="A248" s="109" t="s">
        <v>293</v>
      </c>
      <c r="B248" s="87" t="s">
        <v>7</v>
      </c>
      <c r="C248" s="203" t="s">
        <v>4</v>
      </c>
      <c r="D248" s="82" t="s">
        <v>688</v>
      </c>
      <c r="E248" s="82" t="s">
        <v>689</v>
      </c>
      <c r="F248" s="83">
        <v>2835</v>
      </c>
      <c r="G248" s="110">
        <v>945</v>
      </c>
      <c r="H248" s="110">
        <v>0</v>
      </c>
      <c r="I248" s="110">
        <v>0</v>
      </c>
      <c r="J248" s="83">
        <v>2955</v>
      </c>
      <c r="K248" s="110">
        <v>985</v>
      </c>
      <c r="L248" s="110">
        <v>0</v>
      </c>
      <c r="M248" s="110">
        <v>0</v>
      </c>
      <c r="N248" s="110">
        <v>0</v>
      </c>
      <c r="O248" s="110">
        <v>0</v>
      </c>
      <c r="P248" s="110">
        <v>0</v>
      </c>
      <c r="Q248" s="110">
        <v>0</v>
      </c>
      <c r="R248" s="82" t="s">
        <v>15</v>
      </c>
      <c r="S248" s="82" t="s">
        <v>15</v>
      </c>
      <c r="T248" s="82" t="s">
        <v>15</v>
      </c>
      <c r="U248" s="82" t="s">
        <v>15</v>
      </c>
      <c r="V248" s="82" t="s">
        <v>15</v>
      </c>
      <c r="W248" s="82" t="s">
        <v>15</v>
      </c>
      <c r="X248" s="82" t="s">
        <v>15</v>
      </c>
      <c r="Y248" s="82" t="s">
        <v>15</v>
      </c>
      <c r="Z248" s="82" t="s">
        <v>15</v>
      </c>
      <c r="AA248" s="204" t="s">
        <v>359</v>
      </c>
      <c r="AB248" s="204" t="s">
        <v>1165</v>
      </c>
      <c r="AC248" s="203" t="s">
        <v>77</v>
      </c>
    </row>
    <row r="249" spans="1:29" s="50" customFormat="1" ht="61.5" customHeight="1" x14ac:dyDescent="0.25">
      <c r="A249" s="24" t="s">
        <v>68</v>
      </c>
      <c r="B249" s="33" t="s">
        <v>224</v>
      </c>
      <c r="C249" s="25" t="s">
        <v>77</v>
      </c>
      <c r="D249" s="25" t="s">
        <v>77</v>
      </c>
      <c r="E249" s="25" t="s">
        <v>77</v>
      </c>
      <c r="F249" s="26">
        <f>F250+F312+F316</f>
        <v>2242431.1124999998</v>
      </c>
      <c r="G249" s="26">
        <f t="shared" ref="G249:Q249" si="85">G250+G312+G316</f>
        <v>811345.18650000007</v>
      </c>
      <c r="H249" s="26">
        <f t="shared" si="85"/>
        <v>0</v>
      </c>
      <c r="I249" s="26">
        <f t="shared" si="85"/>
        <v>0</v>
      </c>
      <c r="J249" s="26">
        <f t="shared" si="85"/>
        <v>2851811.9862500001</v>
      </c>
      <c r="K249" s="26">
        <f t="shared" si="85"/>
        <v>920710.84124999994</v>
      </c>
      <c r="L249" s="26">
        <f t="shared" si="85"/>
        <v>2800</v>
      </c>
      <c r="M249" s="26">
        <f t="shared" si="85"/>
        <v>0</v>
      </c>
      <c r="N249" s="26">
        <f t="shared" si="85"/>
        <v>1358888.0974999999</v>
      </c>
      <c r="O249" s="26">
        <f t="shared" si="85"/>
        <v>174036.63250000001</v>
      </c>
      <c r="P249" s="26">
        <f t="shared" si="85"/>
        <v>0</v>
      </c>
      <c r="Q249" s="26">
        <f t="shared" si="85"/>
        <v>0</v>
      </c>
      <c r="R249" s="25" t="s">
        <v>77</v>
      </c>
      <c r="S249" s="25" t="s">
        <v>77</v>
      </c>
      <c r="T249" s="25" t="s">
        <v>77</v>
      </c>
      <c r="U249" s="25" t="s">
        <v>77</v>
      </c>
      <c r="V249" s="25" t="s">
        <v>77</v>
      </c>
      <c r="W249" s="25" t="s">
        <v>77</v>
      </c>
      <c r="X249" s="25" t="s">
        <v>77</v>
      </c>
      <c r="Y249" s="25" t="s">
        <v>77</v>
      </c>
      <c r="Z249" s="25" t="s">
        <v>77</v>
      </c>
      <c r="AA249" s="25" t="s">
        <v>77</v>
      </c>
      <c r="AB249" s="25" t="s">
        <v>77</v>
      </c>
      <c r="AC249" s="25" t="s">
        <v>77</v>
      </c>
    </row>
    <row r="250" spans="1:29" s="61" customFormat="1" ht="42" customHeight="1" x14ac:dyDescent="0.25">
      <c r="A250" s="39" t="s">
        <v>2</v>
      </c>
      <c r="B250" s="55" t="s">
        <v>225</v>
      </c>
      <c r="C250" s="15" t="s">
        <v>77</v>
      </c>
      <c r="D250" s="15" t="s">
        <v>77</v>
      </c>
      <c r="E250" s="15" t="s">
        <v>77</v>
      </c>
      <c r="F250" s="11">
        <f>F251+F307+F310</f>
        <v>2172093.4125000001</v>
      </c>
      <c r="G250" s="11">
        <f t="shared" ref="G250:Q250" si="86">G251+G307+G310</f>
        <v>755427.18650000007</v>
      </c>
      <c r="H250" s="11">
        <f t="shared" si="86"/>
        <v>0</v>
      </c>
      <c r="I250" s="11">
        <f t="shared" si="86"/>
        <v>0</v>
      </c>
      <c r="J250" s="11">
        <f t="shared" si="86"/>
        <v>2792898.5862500002</v>
      </c>
      <c r="K250" s="11">
        <f t="shared" si="86"/>
        <v>901069.64124999999</v>
      </c>
      <c r="L250" s="11">
        <f t="shared" si="86"/>
        <v>2800</v>
      </c>
      <c r="M250" s="11">
        <f t="shared" si="86"/>
        <v>0</v>
      </c>
      <c r="N250" s="11">
        <f t="shared" si="86"/>
        <v>1358888.0974999999</v>
      </c>
      <c r="O250" s="11">
        <f t="shared" si="86"/>
        <v>174036.63250000001</v>
      </c>
      <c r="P250" s="11">
        <f t="shared" si="86"/>
        <v>0</v>
      </c>
      <c r="Q250" s="11">
        <f t="shared" si="86"/>
        <v>0</v>
      </c>
      <c r="R250" s="15" t="s">
        <v>77</v>
      </c>
      <c r="S250" s="15" t="s">
        <v>77</v>
      </c>
      <c r="T250" s="15" t="s">
        <v>77</v>
      </c>
      <c r="U250" s="15" t="s">
        <v>77</v>
      </c>
      <c r="V250" s="15" t="s">
        <v>77</v>
      </c>
      <c r="W250" s="15" t="s">
        <v>77</v>
      </c>
      <c r="X250" s="15" t="s">
        <v>77</v>
      </c>
      <c r="Y250" s="15" t="s">
        <v>77</v>
      </c>
      <c r="Z250" s="15" t="s">
        <v>77</v>
      </c>
      <c r="AA250" s="15" t="s">
        <v>77</v>
      </c>
      <c r="AB250" s="15" t="s">
        <v>77</v>
      </c>
      <c r="AC250" s="15" t="s">
        <v>77</v>
      </c>
    </row>
    <row r="251" spans="1:29" s="44" customFormat="1" ht="57" customHeight="1" x14ac:dyDescent="0.25">
      <c r="A251" s="2" t="s">
        <v>1</v>
      </c>
      <c r="B251" s="4" t="s">
        <v>268</v>
      </c>
      <c r="C251" s="16" t="s">
        <v>77</v>
      </c>
      <c r="D251" s="16" t="s">
        <v>77</v>
      </c>
      <c r="E251" s="16" t="s">
        <v>77</v>
      </c>
      <c r="F251" s="8">
        <f>F252+F253+F254+F269+F270+F271+F279+F302</f>
        <v>2153193.4125000001</v>
      </c>
      <c r="G251" s="8">
        <f t="shared" ref="G251:Q251" si="87">G252+G253+G254+G269+G270+G271+G279+G302</f>
        <v>754927.18650000007</v>
      </c>
      <c r="H251" s="8">
        <f t="shared" si="87"/>
        <v>0</v>
      </c>
      <c r="I251" s="8">
        <f t="shared" si="87"/>
        <v>0</v>
      </c>
      <c r="J251" s="8">
        <f t="shared" si="87"/>
        <v>2790898.5862500002</v>
      </c>
      <c r="K251" s="8">
        <f t="shared" si="87"/>
        <v>900569.64124999999</v>
      </c>
      <c r="L251" s="8">
        <f t="shared" si="87"/>
        <v>2800</v>
      </c>
      <c r="M251" s="8">
        <f t="shared" si="87"/>
        <v>0</v>
      </c>
      <c r="N251" s="8">
        <f t="shared" si="87"/>
        <v>1358888.0974999999</v>
      </c>
      <c r="O251" s="8">
        <f t="shared" si="87"/>
        <v>174036.63250000001</v>
      </c>
      <c r="P251" s="8">
        <f t="shared" si="87"/>
        <v>0</v>
      </c>
      <c r="Q251" s="8">
        <f t="shared" si="87"/>
        <v>0</v>
      </c>
      <c r="R251" s="16" t="s">
        <v>77</v>
      </c>
      <c r="S251" s="16" t="s">
        <v>77</v>
      </c>
      <c r="T251" s="16" t="s">
        <v>77</v>
      </c>
      <c r="U251" s="16" t="s">
        <v>77</v>
      </c>
      <c r="V251" s="16" t="s">
        <v>77</v>
      </c>
      <c r="W251" s="16" t="s">
        <v>77</v>
      </c>
      <c r="X251" s="16" t="s">
        <v>77</v>
      </c>
      <c r="Y251" s="16" t="s">
        <v>77</v>
      </c>
      <c r="Z251" s="16" t="s">
        <v>77</v>
      </c>
      <c r="AA251" s="16" t="s">
        <v>77</v>
      </c>
      <c r="AB251" s="16" t="s">
        <v>77</v>
      </c>
      <c r="AC251" s="16" t="s">
        <v>77</v>
      </c>
    </row>
    <row r="252" spans="1:29" s="198" customFormat="1" ht="147.75" customHeight="1" x14ac:dyDescent="0.25">
      <c r="A252" s="141" t="s">
        <v>25</v>
      </c>
      <c r="B252" s="172" t="s">
        <v>212</v>
      </c>
      <c r="C252" s="205" t="s">
        <v>4</v>
      </c>
      <c r="D252" s="208" t="s">
        <v>449</v>
      </c>
      <c r="E252" s="208" t="s">
        <v>449</v>
      </c>
      <c r="F252" s="140">
        <v>0</v>
      </c>
      <c r="G252" s="140">
        <v>0</v>
      </c>
      <c r="H252" s="140">
        <v>0</v>
      </c>
      <c r="I252" s="140">
        <v>0</v>
      </c>
      <c r="J252" s="140">
        <v>52974.6</v>
      </c>
      <c r="K252" s="140">
        <v>2207.3000000000002</v>
      </c>
      <c r="L252" s="140">
        <v>0</v>
      </c>
      <c r="M252" s="140">
        <v>0</v>
      </c>
      <c r="N252" s="140">
        <v>0</v>
      </c>
      <c r="O252" s="140">
        <v>0</v>
      </c>
      <c r="P252" s="140">
        <v>0</v>
      </c>
      <c r="Q252" s="140">
        <v>0</v>
      </c>
      <c r="R252" s="208" t="s">
        <v>15</v>
      </c>
      <c r="S252" s="208" t="s">
        <v>15</v>
      </c>
      <c r="T252" s="208" t="s">
        <v>15</v>
      </c>
      <c r="U252" s="208" t="s">
        <v>15</v>
      </c>
      <c r="V252" s="208" t="s">
        <v>15</v>
      </c>
      <c r="W252" s="208" t="s">
        <v>15</v>
      </c>
      <c r="X252" s="208" t="s">
        <v>15</v>
      </c>
      <c r="Y252" s="208" t="s">
        <v>15</v>
      </c>
      <c r="Z252" s="208" t="s">
        <v>15</v>
      </c>
      <c r="AA252" s="205" t="s">
        <v>450</v>
      </c>
      <c r="AB252" s="205" t="s">
        <v>451</v>
      </c>
      <c r="AC252" s="205" t="s">
        <v>452</v>
      </c>
    </row>
    <row r="253" spans="1:29" s="198" customFormat="1" ht="94.5" x14ac:dyDescent="0.25">
      <c r="A253" s="141" t="s">
        <v>78</v>
      </c>
      <c r="B253" s="183" t="s">
        <v>314</v>
      </c>
      <c r="C253" s="205" t="s">
        <v>4</v>
      </c>
      <c r="D253" s="208" t="s">
        <v>449</v>
      </c>
      <c r="E253" s="208" t="s">
        <v>449</v>
      </c>
      <c r="F253" s="140">
        <v>0</v>
      </c>
      <c r="G253" s="140">
        <v>0</v>
      </c>
      <c r="H253" s="140">
        <v>0</v>
      </c>
      <c r="I253" s="140">
        <v>0</v>
      </c>
      <c r="J253" s="140">
        <v>18570.2</v>
      </c>
      <c r="K253" s="140">
        <v>773.8</v>
      </c>
      <c r="L253" s="140">
        <v>0</v>
      </c>
      <c r="M253" s="140">
        <v>0</v>
      </c>
      <c r="N253" s="140">
        <v>0</v>
      </c>
      <c r="O253" s="140">
        <v>0</v>
      </c>
      <c r="P253" s="140">
        <v>0</v>
      </c>
      <c r="Q253" s="140">
        <v>0</v>
      </c>
      <c r="R253" s="208" t="s">
        <v>15</v>
      </c>
      <c r="S253" s="208" t="s">
        <v>15</v>
      </c>
      <c r="T253" s="208" t="s">
        <v>15</v>
      </c>
      <c r="U253" s="208" t="s">
        <v>15</v>
      </c>
      <c r="V253" s="208" t="s">
        <v>15</v>
      </c>
      <c r="W253" s="208" t="s">
        <v>15</v>
      </c>
      <c r="X253" s="208" t="s">
        <v>15</v>
      </c>
      <c r="Y253" s="208" t="s">
        <v>15</v>
      </c>
      <c r="Z253" s="208" t="s">
        <v>15</v>
      </c>
      <c r="AA253" s="205" t="s">
        <v>453</v>
      </c>
      <c r="AB253" s="205" t="s">
        <v>553</v>
      </c>
      <c r="AC253" s="205" t="s">
        <v>452</v>
      </c>
    </row>
    <row r="254" spans="1:29" s="198" customFormat="1" ht="116.25" customHeight="1" x14ac:dyDescent="0.25">
      <c r="A254" s="141" t="s">
        <v>86</v>
      </c>
      <c r="B254" s="172" t="s">
        <v>213</v>
      </c>
      <c r="C254" s="205" t="s">
        <v>4</v>
      </c>
      <c r="D254" s="221" t="s">
        <v>449</v>
      </c>
      <c r="E254" s="221" t="s">
        <v>377</v>
      </c>
      <c r="F254" s="140">
        <f>SUM(F255:F268)</f>
        <v>71935.612499999988</v>
      </c>
      <c r="G254" s="140">
        <f t="shared" ref="G254:Q254" si="88">SUM(G255:G268)</f>
        <v>23978.537499999999</v>
      </c>
      <c r="H254" s="140">
        <f t="shared" si="88"/>
        <v>0</v>
      </c>
      <c r="I254" s="140">
        <f t="shared" si="88"/>
        <v>0</v>
      </c>
      <c r="J254" s="140">
        <f t="shared" si="88"/>
        <v>114564.55124999999</v>
      </c>
      <c r="K254" s="140">
        <f t="shared" si="88"/>
        <v>38188.183749999997</v>
      </c>
      <c r="L254" s="140">
        <f t="shared" si="88"/>
        <v>0</v>
      </c>
      <c r="M254" s="140">
        <f t="shared" si="88"/>
        <v>0</v>
      </c>
      <c r="N254" s="140">
        <f t="shared" si="88"/>
        <v>55735.597500000003</v>
      </c>
      <c r="O254" s="140">
        <f t="shared" si="88"/>
        <v>18578.532499999998</v>
      </c>
      <c r="P254" s="140">
        <f t="shared" si="88"/>
        <v>0</v>
      </c>
      <c r="Q254" s="140">
        <f t="shared" si="88"/>
        <v>0</v>
      </c>
      <c r="R254" s="208" t="s">
        <v>15</v>
      </c>
      <c r="S254" s="208" t="s">
        <v>15</v>
      </c>
      <c r="T254" s="208" t="s">
        <v>15</v>
      </c>
      <c r="U254" s="208" t="s">
        <v>15</v>
      </c>
      <c r="V254" s="208" t="s">
        <v>15</v>
      </c>
      <c r="W254" s="208" t="s">
        <v>15</v>
      </c>
      <c r="X254" s="208" t="s">
        <v>15</v>
      </c>
      <c r="Y254" s="208" t="s">
        <v>15</v>
      </c>
      <c r="Z254" s="208" t="s">
        <v>15</v>
      </c>
      <c r="AA254" s="220" t="s">
        <v>1123</v>
      </c>
      <c r="AB254" s="220" t="s">
        <v>451</v>
      </c>
      <c r="AC254" s="220" t="s">
        <v>732</v>
      </c>
    </row>
    <row r="255" spans="1:29" s="198" customFormat="1" ht="48" customHeight="1" x14ac:dyDescent="0.25">
      <c r="A255" s="147" t="s">
        <v>596</v>
      </c>
      <c r="B255" s="199" t="s">
        <v>1109</v>
      </c>
      <c r="C255" s="205" t="s">
        <v>4</v>
      </c>
      <c r="D255" s="221"/>
      <c r="E255" s="221"/>
      <c r="F255" s="140">
        <v>65097.337499999994</v>
      </c>
      <c r="G255" s="140">
        <v>21699.112499999999</v>
      </c>
      <c r="H255" s="140">
        <v>0</v>
      </c>
      <c r="I255" s="140">
        <v>0</v>
      </c>
      <c r="J255" s="140">
        <v>0</v>
      </c>
      <c r="K255" s="140">
        <v>0</v>
      </c>
      <c r="L255" s="140">
        <v>0</v>
      </c>
      <c r="M255" s="140">
        <v>0</v>
      </c>
      <c r="N255" s="140">
        <v>0</v>
      </c>
      <c r="O255" s="140">
        <v>0</v>
      </c>
      <c r="P255" s="140">
        <v>0</v>
      </c>
      <c r="Q255" s="140">
        <v>0</v>
      </c>
      <c r="R255" s="208">
        <v>2023</v>
      </c>
      <c r="S255" s="208">
        <v>2023</v>
      </c>
      <c r="T255" s="208" t="s">
        <v>15</v>
      </c>
      <c r="U255" s="208" t="s">
        <v>15</v>
      </c>
      <c r="V255" s="208" t="s">
        <v>15</v>
      </c>
      <c r="W255" s="208" t="s">
        <v>15</v>
      </c>
      <c r="X255" s="208" t="s">
        <v>15</v>
      </c>
      <c r="Y255" s="208" t="s">
        <v>15</v>
      </c>
      <c r="Z255" s="140">
        <v>86796.45</v>
      </c>
      <c r="AA255" s="220"/>
      <c r="AB255" s="220"/>
      <c r="AC255" s="220"/>
    </row>
    <row r="256" spans="1:29" s="198" customFormat="1" ht="48" customHeight="1" x14ac:dyDescent="0.25">
      <c r="A256" s="147" t="s">
        <v>600</v>
      </c>
      <c r="B256" s="199" t="s">
        <v>1110</v>
      </c>
      <c r="C256" s="205" t="s">
        <v>4</v>
      </c>
      <c r="D256" s="221"/>
      <c r="E256" s="221"/>
      <c r="F256" s="140">
        <v>6838.2750000000005</v>
      </c>
      <c r="G256" s="140">
        <v>2279.4250000000002</v>
      </c>
      <c r="H256" s="140">
        <v>0</v>
      </c>
      <c r="I256" s="140">
        <v>0</v>
      </c>
      <c r="J256" s="140">
        <v>0</v>
      </c>
      <c r="K256" s="140">
        <v>0</v>
      </c>
      <c r="L256" s="140">
        <v>0</v>
      </c>
      <c r="M256" s="140">
        <v>0</v>
      </c>
      <c r="N256" s="140">
        <v>0</v>
      </c>
      <c r="O256" s="140">
        <v>0</v>
      </c>
      <c r="P256" s="140">
        <v>0</v>
      </c>
      <c r="Q256" s="140">
        <v>0</v>
      </c>
      <c r="R256" s="208">
        <v>2023</v>
      </c>
      <c r="S256" s="208">
        <v>2023</v>
      </c>
      <c r="T256" s="208" t="s">
        <v>15</v>
      </c>
      <c r="U256" s="208" t="s">
        <v>15</v>
      </c>
      <c r="V256" s="208" t="s">
        <v>15</v>
      </c>
      <c r="W256" s="208" t="s">
        <v>15</v>
      </c>
      <c r="X256" s="208" t="s">
        <v>15</v>
      </c>
      <c r="Y256" s="208" t="s">
        <v>15</v>
      </c>
      <c r="Z256" s="140">
        <v>9117.7000000000007</v>
      </c>
      <c r="AA256" s="220"/>
      <c r="AB256" s="220"/>
      <c r="AC256" s="220"/>
    </row>
    <row r="257" spans="1:29" s="198" customFormat="1" ht="69.75" customHeight="1" x14ac:dyDescent="0.25">
      <c r="A257" s="147" t="s">
        <v>1097</v>
      </c>
      <c r="B257" s="199" t="s">
        <v>1111</v>
      </c>
      <c r="C257" s="205" t="s">
        <v>4</v>
      </c>
      <c r="D257" s="221"/>
      <c r="E257" s="221"/>
      <c r="F257" s="140">
        <v>0</v>
      </c>
      <c r="G257" s="140">
        <v>0</v>
      </c>
      <c r="H257" s="140">
        <v>0</v>
      </c>
      <c r="I257" s="140">
        <v>0</v>
      </c>
      <c r="J257" s="140">
        <v>37099.428749999999</v>
      </c>
      <c r="K257" s="140">
        <v>12366.47625</v>
      </c>
      <c r="L257" s="140">
        <v>0</v>
      </c>
      <c r="M257" s="140">
        <v>0</v>
      </c>
      <c r="N257" s="140">
        <v>0</v>
      </c>
      <c r="O257" s="140">
        <v>0</v>
      </c>
      <c r="P257" s="140">
        <v>0</v>
      </c>
      <c r="Q257" s="140">
        <v>0</v>
      </c>
      <c r="R257" s="208">
        <v>2024</v>
      </c>
      <c r="S257" s="208">
        <v>2024</v>
      </c>
      <c r="T257" s="208" t="s">
        <v>15</v>
      </c>
      <c r="U257" s="208" t="s">
        <v>15</v>
      </c>
      <c r="V257" s="208" t="s">
        <v>15</v>
      </c>
      <c r="W257" s="208" t="s">
        <v>15</v>
      </c>
      <c r="X257" s="208" t="s">
        <v>15</v>
      </c>
      <c r="Y257" s="208" t="s">
        <v>15</v>
      </c>
      <c r="Z257" s="140">
        <v>49465.904999999999</v>
      </c>
      <c r="AA257" s="220"/>
      <c r="AB257" s="220"/>
      <c r="AC257" s="220"/>
    </row>
    <row r="258" spans="1:29" s="198" customFormat="1" ht="67.5" customHeight="1" x14ac:dyDescent="0.25">
      <c r="A258" s="147" t="s">
        <v>1098</v>
      </c>
      <c r="B258" s="199" t="s">
        <v>1112</v>
      </c>
      <c r="C258" s="205" t="s">
        <v>4</v>
      </c>
      <c r="D258" s="221"/>
      <c r="E258" s="221"/>
      <c r="F258" s="140">
        <v>0</v>
      </c>
      <c r="G258" s="140">
        <v>0</v>
      </c>
      <c r="H258" s="140">
        <v>0</v>
      </c>
      <c r="I258" s="140">
        <v>0</v>
      </c>
      <c r="J258" s="140">
        <v>12031.372499999999</v>
      </c>
      <c r="K258" s="140">
        <v>4010.4575000000004</v>
      </c>
      <c r="L258" s="140">
        <v>0</v>
      </c>
      <c r="M258" s="140">
        <v>0</v>
      </c>
      <c r="N258" s="140">
        <v>0</v>
      </c>
      <c r="O258" s="140">
        <v>0</v>
      </c>
      <c r="P258" s="140">
        <v>0</v>
      </c>
      <c r="Q258" s="140">
        <v>0</v>
      </c>
      <c r="R258" s="208">
        <v>2024</v>
      </c>
      <c r="S258" s="208">
        <v>2024</v>
      </c>
      <c r="T258" s="208" t="s">
        <v>15</v>
      </c>
      <c r="U258" s="208" t="s">
        <v>15</v>
      </c>
      <c r="V258" s="208" t="s">
        <v>15</v>
      </c>
      <c r="W258" s="208" t="s">
        <v>15</v>
      </c>
      <c r="X258" s="208" t="s">
        <v>15</v>
      </c>
      <c r="Y258" s="208" t="s">
        <v>15</v>
      </c>
      <c r="Z258" s="140">
        <v>16041.9</v>
      </c>
      <c r="AA258" s="220"/>
      <c r="AB258" s="220"/>
      <c r="AC258" s="220"/>
    </row>
    <row r="259" spans="1:29" s="198" customFormat="1" ht="66" customHeight="1" x14ac:dyDescent="0.25">
      <c r="A259" s="147" t="s">
        <v>1099</v>
      </c>
      <c r="B259" s="199" t="s">
        <v>1115</v>
      </c>
      <c r="C259" s="205" t="s">
        <v>4</v>
      </c>
      <c r="D259" s="221"/>
      <c r="E259" s="221"/>
      <c r="F259" s="140">
        <v>0</v>
      </c>
      <c r="G259" s="140">
        <v>0</v>
      </c>
      <c r="H259" s="140">
        <v>0</v>
      </c>
      <c r="I259" s="140">
        <v>0</v>
      </c>
      <c r="J259" s="140">
        <v>21570.75</v>
      </c>
      <c r="K259" s="140">
        <v>7190.25</v>
      </c>
      <c r="L259" s="140">
        <v>0</v>
      </c>
      <c r="M259" s="140">
        <v>0</v>
      </c>
      <c r="N259" s="140">
        <v>0</v>
      </c>
      <c r="O259" s="140">
        <v>0</v>
      </c>
      <c r="P259" s="140">
        <v>0</v>
      </c>
      <c r="Q259" s="140">
        <v>0</v>
      </c>
      <c r="R259" s="208">
        <v>2024</v>
      </c>
      <c r="S259" s="208">
        <v>2024</v>
      </c>
      <c r="T259" s="208" t="s">
        <v>15</v>
      </c>
      <c r="U259" s="208" t="s">
        <v>15</v>
      </c>
      <c r="V259" s="208" t="s">
        <v>15</v>
      </c>
      <c r="W259" s="208" t="s">
        <v>15</v>
      </c>
      <c r="X259" s="208" t="s">
        <v>15</v>
      </c>
      <c r="Y259" s="208" t="s">
        <v>15</v>
      </c>
      <c r="Z259" s="140">
        <v>28761.1</v>
      </c>
      <c r="AA259" s="220"/>
      <c r="AB259" s="220"/>
      <c r="AC259" s="220"/>
    </row>
    <row r="260" spans="1:29" s="198" customFormat="1" ht="40.5" customHeight="1" x14ac:dyDescent="0.25">
      <c r="A260" s="147" t="s">
        <v>1100</v>
      </c>
      <c r="B260" s="199" t="s">
        <v>1114</v>
      </c>
      <c r="C260" s="205" t="s">
        <v>4</v>
      </c>
      <c r="D260" s="221"/>
      <c r="E260" s="221"/>
      <c r="F260" s="140">
        <v>0</v>
      </c>
      <c r="G260" s="140">
        <v>0</v>
      </c>
      <c r="H260" s="140">
        <v>0</v>
      </c>
      <c r="I260" s="140">
        <v>0</v>
      </c>
      <c r="J260" s="140">
        <v>16390.5</v>
      </c>
      <c r="K260" s="140">
        <v>5463.5</v>
      </c>
      <c r="L260" s="140">
        <v>0</v>
      </c>
      <c r="M260" s="140">
        <v>0</v>
      </c>
      <c r="N260" s="140">
        <v>0</v>
      </c>
      <c r="O260" s="140">
        <v>0</v>
      </c>
      <c r="P260" s="140">
        <v>0</v>
      </c>
      <c r="Q260" s="140">
        <v>0</v>
      </c>
      <c r="R260" s="208">
        <v>2024</v>
      </c>
      <c r="S260" s="208">
        <v>2024</v>
      </c>
      <c r="T260" s="208" t="s">
        <v>15</v>
      </c>
      <c r="U260" s="208" t="s">
        <v>15</v>
      </c>
      <c r="V260" s="208" t="s">
        <v>15</v>
      </c>
      <c r="W260" s="208" t="s">
        <v>15</v>
      </c>
      <c r="X260" s="208" t="s">
        <v>15</v>
      </c>
      <c r="Y260" s="208" t="s">
        <v>15</v>
      </c>
      <c r="Z260" s="140">
        <v>21854</v>
      </c>
      <c r="AA260" s="220"/>
      <c r="AB260" s="220"/>
      <c r="AC260" s="220"/>
    </row>
    <row r="261" spans="1:29" s="198" customFormat="1" ht="41.25" customHeight="1" x14ac:dyDescent="0.25">
      <c r="A261" s="147" t="s">
        <v>1101</v>
      </c>
      <c r="B261" s="199" t="s">
        <v>1113</v>
      </c>
      <c r="C261" s="205" t="s">
        <v>4</v>
      </c>
      <c r="D261" s="221"/>
      <c r="E261" s="221"/>
      <c r="F261" s="140">
        <v>0</v>
      </c>
      <c r="G261" s="140">
        <v>0</v>
      </c>
      <c r="H261" s="140">
        <v>0</v>
      </c>
      <c r="I261" s="140">
        <v>0</v>
      </c>
      <c r="J261" s="140">
        <v>17815.5</v>
      </c>
      <c r="K261" s="140">
        <v>5938.5</v>
      </c>
      <c r="L261" s="140">
        <v>0</v>
      </c>
      <c r="M261" s="140">
        <v>0</v>
      </c>
      <c r="N261" s="140">
        <v>0</v>
      </c>
      <c r="O261" s="140">
        <v>0</v>
      </c>
      <c r="P261" s="140">
        <v>0</v>
      </c>
      <c r="Q261" s="140">
        <v>0</v>
      </c>
      <c r="R261" s="208">
        <v>2024</v>
      </c>
      <c r="S261" s="208">
        <v>2024</v>
      </c>
      <c r="T261" s="208" t="s">
        <v>15</v>
      </c>
      <c r="U261" s="208" t="s">
        <v>15</v>
      </c>
      <c r="V261" s="208" t="s">
        <v>15</v>
      </c>
      <c r="W261" s="208" t="s">
        <v>15</v>
      </c>
      <c r="X261" s="208" t="s">
        <v>15</v>
      </c>
      <c r="Y261" s="208" t="s">
        <v>15</v>
      </c>
      <c r="Z261" s="140">
        <v>23754</v>
      </c>
      <c r="AA261" s="220"/>
      <c r="AB261" s="220"/>
      <c r="AC261" s="220"/>
    </row>
    <row r="262" spans="1:29" s="198" customFormat="1" ht="48" customHeight="1" x14ac:dyDescent="0.25">
      <c r="A262" s="147" t="s">
        <v>1102</v>
      </c>
      <c r="B262" s="199" t="s">
        <v>1161</v>
      </c>
      <c r="C262" s="205" t="s">
        <v>4</v>
      </c>
      <c r="D262" s="221"/>
      <c r="E262" s="221"/>
      <c r="F262" s="140">
        <v>0</v>
      </c>
      <c r="G262" s="140">
        <v>0</v>
      </c>
      <c r="H262" s="140">
        <v>0</v>
      </c>
      <c r="I262" s="140">
        <v>0</v>
      </c>
      <c r="J262" s="140">
        <v>9657</v>
      </c>
      <c r="K262" s="140">
        <v>3219</v>
      </c>
      <c r="L262" s="140">
        <v>0</v>
      </c>
      <c r="M262" s="140">
        <v>0</v>
      </c>
      <c r="N262" s="140">
        <v>0</v>
      </c>
      <c r="O262" s="140">
        <v>0</v>
      </c>
      <c r="P262" s="140">
        <v>0</v>
      </c>
      <c r="Q262" s="140">
        <v>0</v>
      </c>
      <c r="R262" s="208">
        <v>2024</v>
      </c>
      <c r="S262" s="208">
        <v>2024</v>
      </c>
      <c r="T262" s="208" t="s">
        <v>15</v>
      </c>
      <c r="U262" s="208" t="s">
        <v>15</v>
      </c>
      <c r="V262" s="208" t="s">
        <v>15</v>
      </c>
      <c r="W262" s="208" t="s">
        <v>15</v>
      </c>
      <c r="X262" s="208" t="s">
        <v>15</v>
      </c>
      <c r="Y262" s="208" t="s">
        <v>15</v>
      </c>
      <c r="Z262" s="140">
        <v>12876</v>
      </c>
      <c r="AA262" s="220"/>
      <c r="AB262" s="220"/>
      <c r="AC262" s="220"/>
    </row>
    <row r="263" spans="1:29" s="198" customFormat="1" ht="78.75" x14ac:dyDescent="0.25">
      <c r="A263" s="147" t="s">
        <v>1103</v>
      </c>
      <c r="B263" s="199" t="s">
        <v>1116</v>
      </c>
      <c r="C263" s="205" t="s">
        <v>4</v>
      </c>
      <c r="D263" s="221"/>
      <c r="E263" s="221"/>
      <c r="F263" s="140">
        <v>0</v>
      </c>
      <c r="G263" s="140">
        <v>0</v>
      </c>
      <c r="H263" s="140">
        <v>0</v>
      </c>
      <c r="I263" s="140">
        <v>0</v>
      </c>
      <c r="J263" s="140">
        <v>0</v>
      </c>
      <c r="K263" s="140">
        <v>0</v>
      </c>
      <c r="L263" s="140">
        <v>0</v>
      </c>
      <c r="M263" s="140">
        <v>0</v>
      </c>
      <c r="N263" s="140">
        <v>2458.0050000000001</v>
      </c>
      <c r="O263" s="140">
        <v>819.33500000000004</v>
      </c>
      <c r="P263" s="140">
        <v>0</v>
      </c>
      <c r="Q263" s="140">
        <v>0</v>
      </c>
      <c r="R263" s="208">
        <v>2025</v>
      </c>
      <c r="S263" s="208">
        <v>2025</v>
      </c>
      <c r="T263" s="208" t="s">
        <v>15</v>
      </c>
      <c r="U263" s="208" t="s">
        <v>15</v>
      </c>
      <c r="V263" s="208" t="s">
        <v>15</v>
      </c>
      <c r="W263" s="208" t="s">
        <v>15</v>
      </c>
      <c r="X263" s="208" t="s">
        <v>15</v>
      </c>
      <c r="Y263" s="208" t="s">
        <v>15</v>
      </c>
      <c r="Z263" s="140">
        <v>3277.34</v>
      </c>
      <c r="AA263" s="220"/>
      <c r="AB263" s="220"/>
      <c r="AC263" s="220"/>
    </row>
    <row r="264" spans="1:29" s="198" customFormat="1" ht="64.5" customHeight="1" x14ac:dyDescent="0.25">
      <c r="A264" s="147" t="s">
        <v>1104</v>
      </c>
      <c r="B264" s="199" t="s">
        <v>1117</v>
      </c>
      <c r="C264" s="205" t="s">
        <v>4</v>
      </c>
      <c r="D264" s="221"/>
      <c r="E264" s="221"/>
      <c r="F264" s="140">
        <v>0</v>
      </c>
      <c r="G264" s="140">
        <v>0</v>
      </c>
      <c r="H264" s="140">
        <v>0</v>
      </c>
      <c r="I264" s="140">
        <v>0</v>
      </c>
      <c r="J264" s="140">
        <v>0</v>
      </c>
      <c r="K264" s="140">
        <v>0</v>
      </c>
      <c r="L264" s="140">
        <v>0</v>
      </c>
      <c r="M264" s="140">
        <v>0</v>
      </c>
      <c r="N264" s="140">
        <v>14900.625</v>
      </c>
      <c r="O264" s="140">
        <v>4966.875</v>
      </c>
      <c r="P264" s="140">
        <v>0</v>
      </c>
      <c r="Q264" s="140">
        <v>0</v>
      </c>
      <c r="R264" s="208">
        <v>2025</v>
      </c>
      <c r="S264" s="208">
        <v>2025</v>
      </c>
      <c r="T264" s="208" t="s">
        <v>15</v>
      </c>
      <c r="U264" s="208" t="s">
        <v>15</v>
      </c>
      <c r="V264" s="208" t="s">
        <v>15</v>
      </c>
      <c r="W264" s="208" t="s">
        <v>15</v>
      </c>
      <c r="X264" s="208" t="s">
        <v>15</v>
      </c>
      <c r="Y264" s="208" t="s">
        <v>15</v>
      </c>
      <c r="Z264" s="140">
        <v>19867.5</v>
      </c>
      <c r="AA264" s="220"/>
      <c r="AB264" s="220"/>
      <c r="AC264" s="220"/>
    </row>
    <row r="265" spans="1:29" s="198" customFormat="1" ht="65.25" customHeight="1" x14ac:dyDescent="0.25">
      <c r="A265" s="147" t="s">
        <v>1105</v>
      </c>
      <c r="B265" s="199" t="s">
        <v>1118</v>
      </c>
      <c r="C265" s="205" t="s">
        <v>4</v>
      </c>
      <c r="D265" s="221"/>
      <c r="E265" s="221"/>
      <c r="F265" s="140">
        <v>0</v>
      </c>
      <c r="G265" s="140">
        <v>0</v>
      </c>
      <c r="H265" s="140">
        <v>0</v>
      </c>
      <c r="I265" s="140">
        <v>0</v>
      </c>
      <c r="J265" s="140">
        <v>0</v>
      </c>
      <c r="K265" s="140">
        <v>0</v>
      </c>
      <c r="L265" s="140">
        <v>0</v>
      </c>
      <c r="M265" s="140">
        <v>0</v>
      </c>
      <c r="N265" s="140">
        <v>6400.5974999999989</v>
      </c>
      <c r="O265" s="140">
        <v>2133.5325000000003</v>
      </c>
      <c r="P265" s="140">
        <v>0</v>
      </c>
      <c r="Q265" s="140">
        <v>0</v>
      </c>
      <c r="R265" s="208">
        <v>2025</v>
      </c>
      <c r="S265" s="208">
        <v>2025</v>
      </c>
      <c r="T265" s="208" t="s">
        <v>15</v>
      </c>
      <c r="U265" s="208" t="s">
        <v>15</v>
      </c>
      <c r="V265" s="208" t="s">
        <v>15</v>
      </c>
      <c r="W265" s="208" t="s">
        <v>15</v>
      </c>
      <c r="X265" s="208" t="s">
        <v>15</v>
      </c>
      <c r="Y265" s="208" t="s">
        <v>15</v>
      </c>
      <c r="Z265" s="140">
        <v>8534.1299999999992</v>
      </c>
      <c r="AA265" s="220"/>
      <c r="AB265" s="220"/>
      <c r="AC265" s="220"/>
    </row>
    <row r="266" spans="1:29" s="198" customFormat="1" ht="63" x14ac:dyDescent="0.25">
      <c r="A266" s="147" t="s">
        <v>1106</v>
      </c>
      <c r="B266" s="199" t="s">
        <v>1119</v>
      </c>
      <c r="C266" s="205" t="s">
        <v>4</v>
      </c>
      <c r="D266" s="221"/>
      <c r="E266" s="221"/>
      <c r="F266" s="140">
        <v>0</v>
      </c>
      <c r="G266" s="140">
        <v>0</v>
      </c>
      <c r="H266" s="140">
        <v>0</v>
      </c>
      <c r="I266" s="140">
        <v>0</v>
      </c>
      <c r="J266" s="140">
        <v>0</v>
      </c>
      <c r="K266" s="140">
        <v>0</v>
      </c>
      <c r="L266" s="140">
        <v>0</v>
      </c>
      <c r="M266" s="140">
        <v>0</v>
      </c>
      <c r="N266" s="140">
        <v>18144.120000000003</v>
      </c>
      <c r="O266" s="140">
        <v>6048.0399999999972</v>
      </c>
      <c r="P266" s="140">
        <v>0</v>
      </c>
      <c r="Q266" s="140">
        <v>0</v>
      </c>
      <c r="R266" s="208">
        <v>2025</v>
      </c>
      <c r="S266" s="208">
        <v>2025</v>
      </c>
      <c r="T266" s="208" t="s">
        <v>15</v>
      </c>
      <c r="U266" s="208" t="s">
        <v>15</v>
      </c>
      <c r="V266" s="208" t="s">
        <v>15</v>
      </c>
      <c r="W266" s="208" t="s">
        <v>15</v>
      </c>
      <c r="X266" s="208" t="s">
        <v>15</v>
      </c>
      <c r="Y266" s="208" t="s">
        <v>15</v>
      </c>
      <c r="Z266" s="140">
        <v>24192.1</v>
      </c>
      <c r="AA266" s="220"/>
      <c r="AB266" s="220"/>
      <c r="AC266" s="220"/>
    </row>
    <row r="267" spans="1:29" s="198" customFormat="1" ht="34.5" customHeight="1" x14ac:dyDescent="0.25">
      <c r="A267" s="147" t="s">
        <v>1107</v>
      </c>
      <c r="B267" s="199" t="s">
        <v>1120</v>
      </c>
      <c r="C267" s="205" t="s">
        <v>4</v>
      </c>
      <c r="D267" s="221"/>
      <c r="E267" s="221"/>
      <c r="F267" s="140">
        <v>0</v>
      </c>
      <c r="G267" s="140">
        <v>0</v>
      </c>
      <c r="H267" s="140">
        <v>0</v>
      </c>
      <c r="I267" s="140">
        <v>0</v>
      </c>
      <c r="J267" s="140">
        <v>0</v>
      </c>
      <c r="K267" s="140">
        <v>0</v>
      </c>
      <c r="L267" s="140">
        <v>0</v>
      </c>
      <c r="M267" s="140">
        <v>0</v>
      </c>
      <c r="N267" s="140">
        <v>7265.25</v>
      </c>
      <c r="O267" s="140">
        <v>2421.75</v>
      </c>
      <c r="P267" s="140">
        <v>0</v>
      </c>
      <c r="Q267" s="140">
        <v>0</v>
      </c>
      <c r="R267" s="208">
        <v>2025</v>
      </c>
      <c r="S267" s="208">
        <v>2025</v>
      </c>
      <c r="T267" s="208" t="s">
        <v>15</v>
      </c>
      <c r="U267" s="208" t="s">
        <v>15</v>
      </c>
      <c r="V267" s="208" t="s">
        <v>15</v>
      </c>
      <c r="W267" s="208" t="s">
        <v>15</v>
      </c>
      <c r="X267" s="208" t="s">
        <v>15</v>
      </c>
      <c r="Y267" s="208" t="s">
        <v>15</v>
      </c>
      <c r="Z267" s="140">
        <v>9687.1</v>
      </c>
      <c r="AA267" s="220"/>
      <c r="AB267" s="220"/>
      <c r="AC267" s="220"/>
    </row>
    <row r="268" spans="1:29" s="198" customFormat="1" ht="36" customHeight="1" x14ac:dyDescent="0.25">
      <c r="A268" s="147" t="s">
        <v>1108</v>
      </c>
      <c r="B268" s="199" t="s">
        <v>1121</v>
      </c>
      <c r="C268" s="205" t="s">
        <v>4</v>
      </c>
      <c r="D268" s="221"/>
      <c r="E268" s="221"/>
      <c r="F268" s="140">
        <v>0</v>
      </c>
      <c r="G268" s="140">
        <v>0</v>
      </c>
      <c r="H268" s="140">
        <v>0</v>
      </c>
      <c r="I268" s="140">
        <v>0</v>
      </c>
      <c r="J268" s="140">
        <v>0</v>
      </c>
      <c r="K268" s="140">
        <v>0</v>
      </c>
      <c r="L268" s="140">
        <v>0</v>
      </c>
      <c r="M268" s="140">
        <v>0</v>
      </c>
      <c r="N268" s="140">
        <v>6567</v>
      </c>
      <c r="O268" s="140">
        <v>2189</v>
      </c>
      <c r="P268" s="140">
        <v>0</v>
      </c>
      <c r="Q268" s="140">
        <v>0</v>
      </c>
      <c r="R268" s="208">
        <v>2025</v>
      </c>
      <c r="S268" s="208">
        <v>2025</v>
      </c>
      <c r="T268" s="208" t="s">
        <v>15</v>
      </c>
      <c r="U268" s="208" t="s">
        <v>15</v>
      </c>
      <c r="V268" s="208" t="s">
        <v>15</v>
      </c>
      <c r="W268" s="208" t="s">
        <v>15</v>
      </c>
      <c r="X268" s="208" t="s">
        <v>15</v>
      </c>
      <c r="Y268" s="208" t="s">
        <v>15</v>
      </c>
      <c r="Z268" s="140">
        <v>8756</v>
      </c>
      <c r="AA268" s="220"/>
      <c r="AB268" s="220"/>
      <c r="AC268" s="220"/>
    </row>
    <row r="269" spans="1:29" s="198" customFormat="1" ht="78.75" x14ac:dyDescent="0.25">
      <c r="A269" s="141" t="s">
        <v>283</v>
      </c>
      <c r="B269" s="172" t="s">
        <v>214</v>
      </c>
      <c r="C269" s="205" t="s">
        <v>113</v>
      </c>
      <c r="D269" s="208" t="s">
        <v>449</v>
      </c>
      <c r="E269" s="208" t="s">
        <v>449</v>
      </c>
      <c r="F269" s="156">
        <v>90000</v>
      </c>
      <c r="G269" s="140">
        <v>0</v>
      </c>
      <c r="H269" s="140">
        <v>0</v>
      </c>
      <c r="I269" s="140">
        <v>0</v>
      </c>
      <c r="J269" s="140">
        <v>0</v>
      </c>
      <c r="K269" s="140">
        <v>0</v>
      </c>
      <c r="L269" s="140">
        <v>0</v>
      </c>
      <c r="M269" s="140">
        <v>0</v>
      </c>
      <c r="N269" s="140">
        <v>0</v>
      </c>
      <c r="O269" s="140">
        <v>0</v>
      </c>
      <c r="P269" s="140">
        <v>0</v>
      </c>
      <c r="Q269" s="140">
        <v>0</v>
      </c>
      <c r="R269" s="208" t="s">
        <v>15</v>
      </c>
      <c r="S269" s="208" t="s">
        <v>15</v>
      </c>
      <c r="T269" s="208" t="s">
        <v>15</v>
      </c>
      <c r="U269" s="208" t="s">
        <v>15</v>
      </c>
      <c r="V269" s="208" t="s">
        <v>15</v>
      </c>
      <c r="W269" s="208" t="s">
        <v>15</v>
      </c>
      <c r="X269" s="208" t="s">
        <v>15</v>
      </c>
      <c r="Y269" s="208" t="s">
        <v>15</v>
      </c>
      <c r="Z269" s="208" t="s">
        <v>15</v>
      </c>
      <c r="AA269" s="205" t="s">
        <v>454</v>
      </c>
      <c r="AB269" s="205" t="s">
        <v>461</v>
      </c>
      <c r="AC269" s="205" t="s">
        <v>455</v>
      </c>
    </row>
    <row r="270" spans="1:29" s="104" customFormat="1" ht="110.25" x14ac:dyDescent="0.25">
      <c r="A270" s="158" t="s">
        <v>284</v>
      </c>
      <c r="B270" s="87" t="s">
        <v>215</v>
      </c>
      <c r="C270" s="203" t="s">
        <v>4</v>
      </c>
      <c r="D270" s="82" t="s">
        <v>449</v>
      </c>
      <c r="E270" s="82" t="s">
        <v>449</v>
      </c>
      <c r="F270" s="83">
        <v>28235.599999999999</v>
      </c>
      <c r="G270" s="83">
        <v>1516.5</v>
      </c>
      <c r="H270" s="83">
        <v>0</v>
      </c>
      <c r="I270" s="83">
        <v>0</v>
      </c>
      <c r="J270" s="83">
        <v>23791.3</v>
      </c>
      <c r="K270" s="83">
        <v>1252.2</v>
      </c>
      <c r="L270" s="83">
        <v>0</v>
      </c>
      <c r="M270" s="83">
        <v>0</v>
      </c>
      <c r="N270" s="83">
        <v>0</v>
      </c>
      <c r="O270" s="83">
        <v>0</v>
      </c>
      <c r="P270" s="83">
        <v>0</v>
      </c>
      <c r="Q270" s="83">
        <v>0</v>
      </c>
      <c r="R270" s="82" t="s">
        <v>15</v>
      </c>
      <c r="S270" s="82" t="s">
        <v>15</v>
      </c>
      <c r="T270" s="82" t="s">
        <v>15</v>
      </c>
      <c r="U270" s="82" t="s">
        <v>15</v>
      </c>
      <c r="V270" s="82" t="s">
        <v>15</v>
      </c>
      <c r="W270" s="82" t="s">
        <v>15</v>
      </c>
      <c r="X270" s="82" t="s">
        <v>15</v>
      </c>
      <c r="Y270" s="82" t="s">
        <v>15</v>
      </c>
      <c r="Z270" s="82" t="s">
        <v>15</v>
      </c>
      <c r="AA270" s="203" t="s">
        <v>733</v>
      </c>
      <c r="AB270" s="203" t="s">
        <v>462</v>
      </c>
      <c r="AC270" s="203" t="s">
        <v>734</v>
      </c>
    </row>
    <row r="271" spans="1:29" s="198" customFormat="1" ht="78.75" customHeight="1" x14ac:dyDescent="0.25">
      <c r="A271" s="141" t="s">
        <v>285</v>
      </c>
      <c r="B271" s="172" t="s">
        <v>216</v>
      </c>
      <c r="C271" s="205" t="s">
        <v>4</v>
      </c>
      <c r="D271" s="221" t="s">
        <v>449</v>
      </c>
      <c r="E271" s="221" t="s">
        <v>377</v>
      </c>
      <c r="F271" s="140">
        <f>SUM(F272:F278)</f>
        <v>93440.700000000012</v>
      </c>
      <c r="G271" s="140">
        <f t="shared" ref="G271:Q271" si="89">SUM(G272:G278)</f>
        <v>31146.848999999995</v>
      </c>
      <c r="H271" s="140">
        <f t="shared" si="89"/>
        <v>0</v>
      </c>
      <c r="I271" s="140">
        <f t="shared" si="89"/>
        <v>0</v>
      </c>
      <c r="J271" s="140">
        <f t="shared" si="89"/>
        <v>57108.134999999995</v>
      </c>
      <c r="K271" s="140">
        <f t="shared" si="89"/>
        <v>19036.057500000003</v>
      </c>
      <c r="L271" s="140">
        <f t="shared" si="89"/>
        <v>0</v>
      </c>
      <c r="M271" s="140">
        <f t="shared" si="89"/>
        <v>0</v>
      </c>
      <c r="N271" s="140">
        <f t="shared" si="89"/>
        <v>0</v>
      </c>
      <c r="O271" s="140">
        <f t="shared" si="89"/>
        <v>0</v>
      </c>
      <c r="P271" s="140">
        <f t="shared" si="89"/>
        <v>0</v>
      </c>
      <c r="Q271" s="140">
        <f t="shared" si="89"/>
        <v>0</v>
      </c>
      <c r="R271" s="208" t="s">
        <v>15</v>
      </c>
      <c r="S271" s="208" t="s">
        <v>15</v>
      </c>
      <c r="T271" s="208" t="s">
        <v>15</v>
      </c>
      <c r="U271" s="208" t="s">
        <v>15</v>
      </c>
      <c r="V271" s="208" t="s">
        <v>15</v>
      </c>
      <c r="W271" s="208" t="s">
        <v>15</v>
      </c>
      <c r="X271" s="208" t="s">
        <v>15</v>
      </c>
      <c r="Y271" s="208" t="s">
        <v>15</v>
      </c>
      <c r="Z271" s="208" t="s">
        <v>15</v>
      </c>
      <c r="AA271" s="220" t="s">
        <v>1096</v>
      </c>
      <c r="AB271" s="220" t="s">
        <v>463</v>
      </c>
      <c r="AC271" s="220" t="s">
        <v>455</v>
      </c>
    </row>
    <row r="272" spans="1:29" s="198" customFormat="1" ht="84" customHeight="1" x14ac:dyDescent="0.25">
      <c r="A272" s="147" t="s">
        <v>1083</v>
      </c>
      <c r="B272" s="200" t="s">
        <v>1162</v>
      </c>
      <c r="C272" s="205" t="s">
        <v>4</v>
      </c>
      <c r="D272" s="221"/>
      <c r="E272" s="221"/>
      <c r="F272" s="140">
        <v>22335.599999999999</v>
      </c>
      <c r="G272" s="140">
        <v>7445.2</v>
      </c>
      <c r="H272" s="140">
        <v>0</v>
      </c>
      <c r="I272" s="140">
        <v>0</v>
      </c>
      <c r="J272" s="140">
        <v>0</v>
      </c>
      <c r="K272" s="140">
        <v>0</v>
      </c>
      <c r="L272" s="140">
        <v>0</v>
      </c>
      <c r="M272" s="140">
        <v>0</v>
      </c>
      <c r="N272" s="140">
        <v>0</v>
      </c>
      <c r="O272" s="140">
        <v>0</v>
      </c>
      <c r="P272" s="140">
        <v>0</v>
      </c>
      <c r="Q272" s="140">
        <v>0</v>
      </c>
      <c r="R272" s="208">
        <v>2023</v>
      </c>
      <c r="S272" s="208">
        <v>2024</v>
      </c>
      <c r="T272" s="208" t="s">
        <v>15</v>
      </c>
      <c r="U272" s="208" t="s">
        <v>15</v>
      </c>
      <c r="V272" s="208" t="s">
        <v>15</v>
      </c>
      <c r="W272" s="142" t="s">
        <v>1088</v>
      </c>
      <c r="X272" s="208" t="s">
        <v>15</v>
      </c>
      <c r="Y272" s="208" t="s">
        <v>15</v>
      </c>
      <c r="Z272" s="140">
        <v>29780.795899999997</v>
      </c>
      <c r="AA272" s="220"/>
      <c r="AB272" s="220"/>
      <c r="AC272" s="220"/>
    </row>
    <row r="273" spans="1:29" s="198" customFormat="1" ht="71.25" customHeight="1" x14ac:dyDescent="0.25">
      <c r="A273" s="141" t="s">
        <v>1084</v>
      </c>
      <c r="B273" s="200" t="s">
        <v>1086</v>
      </c>
      <c r="C273" s="205" t="s">
        <v>4</v>
      </c>
      <c r="D273" s="221"/>
      <c r="E273" s="221"/>
      <c r="F273" s="140">
        <v>4868.25</v>
      </c>
      <c r="G273" s="140">
        <v>1622.7489999999998</v>
      </c>
      <c r="H273" s="140">
        <v>0</v>
      </c>
      <c r="I273" s="140">
        <v>0</v>
      </c>
      <c r="J273" s="140">
        <v>0</v>
      </c>
      <c r="K273" s="140">
        <v>0</v>
      </c>
      <c r="L273" s="140">
        <v>0</v>
      </c>
      <c r="M273" s="140">
        <v>0</v>
      </c>
      <c r="N273" s="140">
        <v>0</v>
      </c>
      <c r="O273" s="140">
        <v>0</v>
      </c>
      <c r="P273" s="140">
        <v>0</v>
      </c>
      <c r="Q273" s="140">
        <v>0</v>
      </c>
      <c r="R273" s="208">
        <v>2023</v>
      </c>
      <c r="S273" s="208">
        <v>2024</v>
      </c>
      <c r="T273" s="208" t="s">
        <v>15</v>
      </c>
      <c r="U273" s="208" t="s">
        <v>15</v>
      </c>
      <c r="V273" s="208" t="s">
        <v>15</v>
      </c>
      <c r="W273" s="208" t="s">
        <v>15</v>
      </c>
      <c r="X273" s="208" t="s">
        <v>15</v>
      </c>
      <c r="Y273" s="208" t="s">
        <v>15</v>
      </c>
      <c r="Z273" s="140">
        <v>6490.9989999999998</v>
      </c>
      <c r="AA273" s="220"/>
      <c r="AB273" s="220"/>
      <c r="AC273" s="220"/>
    </row>
    <row r="274" spans="1:29" s="198" customFormat="1" ht="68.25" customHeight="1" x14ac:dyDescent="0.25">
      <c r="A274" s="141" t="s">
        <v>1085</v>
      </c>
      <c r="B274" s="200" t="s">
        <v>1087</v>
      </c>
      <c r="C274" s="205" t="s">
        <v>4</v>
      </c>
      <c r="D274" s="221"/>
      <c r="E274" s="221"/>
      <c r="F274" s="140">
        <v>66236.850000000006</v>
      </c>
      <c r="G274" s="140">
        <v>22078.899999999994</v>
      </c>
      <c r="H274" s="140">
        <v>0</v>
      </c>
      <c r="I274" s="140">
        <v>0</v>
      </c>
      <c r="J274" s="140">
        <v>0</v>
      </c>
      <c r="K274" s="140">
        <v>0</v>
      </c>
      <c r="L274" s="140">
        <v>0</v>
      </c>
      <c r="M274" s="140">
        <v>0</v>
      </c>
      <c r="N274" s="140">
        <v>0</v>
      </c>
      <c r="O274" s="140">
        <v>0</v>
      </c>
      <c r="P274" s="140">
        <v>0</v>
      </c>
      <c r="Q274" s="140">
        <v>0</v>
      </c>
      <c r="R274" s="208">
        <v>2023</v>
      </c>
      <c r="S274" s="208">
        <v>2024</v>
      </c>
      <c r="T274" s="208" t="s">
        <v>15</v>
      </c>
      <c r="U274" s="208" t="s">
        <v>15</v>
      </c>
      <c r="V274" s="208" t="s">
        <v>15</v>
      </c>
      <c r="W274" s="208" t="s">
        <v>15</v>
      </c>
      <c r="X274" s="208" t="s">
        <v>15</v>
      </c>
      <c r="Y274" s="208" t="s">
        <v>15</v>
      </c>
      <c r="Z274" s="152">
        <v>88315.75</v>
      </c>
      <c r="AA274" s="220"/>
      <c r="AB274" s="220"/>
      <c r="AC274" s="220"/>
    </row>
    <row r="275" spans="1:29" s="198" customFormat="1" ht="68.25" customHeight="1" x14ac:dyDescent="0.25">
      <c r="A275" s="141" t="s">
        <v>1089</v>
      </c>
      <c r="B275" s="200" t="s">
        <v>1095</v>
      </c>
      <c r="C275" s="205" t="s">
        <v>4</v>
      </c>
      <c r="D275" s="221"/>
      <c r="E275" s="221"/>
      <c r="F275" s="140">
        <v>0</v>
      </c>
      <c r="G275" s="140">
        <v>0</v>
      </c>
      <c r="H275" s="140">
        <v>0</v>
      </c>
      <c r="I275" s="140">
        <v>0</v>
      </c>
      <c r="J275" s="140">
        <v>647.04</v>
      </c>
      <c r="K275" s="140">
        <v>215.6825</v>
      </c>
      <c r="L275" s="140">
        <v>0</v>
      </c>
      <c r="M275" s="140">
        <v>0</v>
      </c>
      <c r="N275" s="140">
        <v>0</v>
      </c>
      <c r="O275" s="140">
        <v>0</v>
      </c>
      <c r="P275" s="140">
        <v>0</v>
      </c>
      <c r="Q275" s="140">
        <v>0</v>
      </c>
      <c r="R275" s="208">
        <v>2024</v>
      </c>
      <c r="S275" s="208">
        <v>2024</v>
      </c>
      <c r="T275" s="208" t="s">
        <v>15</v>
      </c>
      <c r="U275" s="208" t="s">
        <v>15</v>
      </c>
      <c r="V275" s="208" t="s">
        <v>15</v>
      </c>
      <c r="W275" s="208" t="s">
        <v>15</v>
      </c>
      <c r="X275" s="208" t="s">
        <v>15</v>
      </c>
      <c r="Y275" s="208" t="s">
        <v>15</v>
      </c>
      <c r="Z275" s="152">
        <v>862.73</v>
      </c>
      <c r="AA275" s="220"/>
      <c r="AB275" s="220"/>
      <c r="AC275" s="220"/>
    </row>
    <row r="276" spans="1:29" s="198" customFormat="1" ht="68.25" customHeight="1" x14ac:dyDescent="0.25">
      <c r="A276" s="141" t="s">
        <v>1090</v>
      </c>
      <c r="B276" s="200" t="s">
        <v>1094</v>
      </c>
      <c r="C276" s="205" t="s">
        <v>4</v>
      </c>
      <c r="D276" s="221"/>
      <c r="E276" s="221"/>
      <c r="F276" s="140">
        <v>0</v>
      </c>
      <c r="G276" s="140">
        <v>0</v>
      </c>
      <c r="H276" s="140">
        <v>0</v>
      </c>
      <c r="I276" s="140">
        <v>0</v>
      </c>
      <c r="J276" s="140">
        <v>10781.47</v>
      </c>
      <c r="K276" s="140">
        <v>3593.8250000000007</v>
      </c>
      <c r="L276" s="140">
        <v>0</v>
      </c>
      <c r="M276" s="140">
        <v>0</v>
      </c>
      <c r="N276" s="140">
        <v>0</v>
      </c>
      <c r="O276" s="140">
        <v>0</v>
      </c>
      <c r="P276" s="140">
        <v>0</v>
      </c>
      <c r="Q276" s="140">
        <v>0</v>
      </c>
      <c r="R276" s="208">
        <v>2024</v>
      </c>
      <c r="S276" s="208">
        <v>2024</v>
      </c>
      <c r="T276" s="208" t="s">
        <v>15</v>
      </c>
      <c r="U276" s="208" t="s">
        <v>15</v>
      </c>
      <c r="V276" s="208" t="s">
        <v>15</v>
      </c>
      <c r="W276" s="208" t="s">
        <v>15</v>
      </c>
      <c r="X276" s="208" t="s">
        <v>15</v>
      </c>
      <c r="Y276" s="208" t="s">
        <v>15</v>
      </c>
      <c r="Z276" s="140">
        <v>14375.3</v>
      </c>
      <c r="AA276" s="220"/>
      <c r="AB276" s="220"/>
      <c r="AC276" s="220"/>
    </row>
    <row r="277" spans="1:29" s="198" customFormat="1" ht="68.25" customHeight="1" x14ac:dyDescent="0.25">
      <c r="A277" s="141" t="s">
        <v>1091</v>
      </c>
      <c r="B277" s="200" t="s">
        <v>1093</v>
      </c>
      <c r="C277" s="205" t="s">
        <v>4</v>
      </c>
      <c r="D277" s="221"/>
      <c r="E277" s="221"/>
      <c r="F277" s="140">
        <v>0</v>
      </c>
      <c r="G277" s="140">
        <v>0</v>
      </c>
      <c r="H277" s="140">
        <v>0</v>
      </c>
      <c r="I277" s="140">
        <v>0</v>
      </c>
      <c r="J277" s="140">
        <v>15245.9</v>
      </c>
      <c r="K277" s="140">
        <v>5081.9750000000004</v>
      </c>
      <c r="L277" s="140">
        <v>0</v>
      </c>
      <c r="M277" s="140">
        <v>0</v>
      </c>
      <c r="N277" s="140">
        <v>0</v>
      </c>
      <c r="O277" s="140">
        <v>0</v>
      </c>
      <c r="P277" s="140">
        <v>0</v>
      </c>
      <c r="Q277" s="140">
        <v>0</v>
      </c>
      <c r="R277" s="208">
        <v>2024</v>
      </c>
      <c r="S277" s="208">
        <v>2024</v>
      </c>
      <c r="T277" s="208" t="s">
        <v>15</v>
      </c>
      <c r="U277" s="208" t="s">
        <v>15</v>
      </c>
      <c r="V277" s="208" t="s">
        <v>15</v>
      </c>
      <c r="W277" s="208" t="s">
        <v>15</v>
      </c>
      <c r="X277" s="208" t="s">
        <v>15</v>
      </c>
      <c r="Y277" s="208" t="s">
        <v>15</v>
      </c>
      <c r="Z277" s="140">
        <v>20327.900000000001</v>
      </c>
      <c r="AA277" s="220"/>
      <c r="AB277" s="220"/>
      <c r="AC277" s="220"/>
    </row>
    <row r="278" spans="1:29" s="198" customFormat="1" ht="68.25" customHeight="1" x14ac:dyDescent="0.25">
      <c r="A278" s="141" t="s">
        <v>1092</v>
      </c>
      <c r="B278" s="200" t="s">
        <v>1163</v>
      </c>
      <c r="C278" s="205" t="s">
        <v>4</v>
      </c>
      <c r="D278" s="221"/>
      <c r="E278" s="221"/>
      <c r="F278" s="140">
        <v>0</v>
      </c>
      <c r="G278" s="140">
        <v>0</v>
      </c>
      <c r="H278" s="140">
        <v>0</v>
      </c>
      <c r="I278" s="140">
        <v>0</v>
      </c>
      <c r="J278" s="140">
        <v>30433.725000000002</v>
      </c>
      <c r="K278" s="140">
        <v>10144.575000000001</v>
      </c>
      <c r="L278" s="140">
        <v>0</v>
      </c>
      <c r="M278" s="140">
        <v>0</v>
      </c>
      <c r="N278" s="140">
        <v>0</v>
      </c>
      <c r="O278" s="140">
        <v>0</v>
      </c>
      <c r="P278" s="140">
        <v>0</v>
      </c>
      <c r="Q278" s="140">
        <v>0</v>
      </c>
      <c r="R278" s="208">
        <v>2024</v>
      </c>
      <c r="S278" s="208">
        <v>2024</v>
      </c>
      <c r="T278" s="208" t="s">
        <v>15</v>
      </c>
      <c r="U278" s="208" t="s">
        <v>15</v>
      </c>
      <c r="V278" s="208" t="s">
        <v>15</v>
      </c>
      <c r="W278" s="208" t="s">
        <v>15</v>
      </c>
      <c r="X278" s="208" t="s">
        <v>15</v>
      </c>
      <c r="Y278" s="208" t="s">
        <v>15</v>
      </c>
      <c r="Z278" s="140">
        <v>40578.300000000003</v>
      </c>
      <c r="AA278" s="220"/>
      <c r="AB278" s="220"/>
      <c r="AC278" s="220"/>
    </row>
    <row r="279" spans="1:29" s="198" customFormat="1" ht="70.5" customHeight="1" x14ac:dyDescent="0.25">
      <c r="A279" s="141" t="s">
        <v>286</v>
      </c>
      <c r="B279" s="172" t="s">
        <v>217</v>
      </c>
      <c r="C279" s="205" t="s">
        <v>4</v>
      </c>
      <c r="D279" s="208" t="s">
        <v>449</v>
      </c>
      <c r="E279" s="208" t="s">
        <v>449</v>
      </c>
      <c r="F279" s="140">
        <f>F280+F292+F294</f>
        <v>1795174</v>
      </c>
      <c r="G279" s="140">
        <f t="shared" ref="G279:Q279" si="90">G280+G292+G294</f>
        <v>695185</v>
      </c>
      <c r="H279" s="140">
        <f t="shared" si="90"/>
        <v>0</v>
      </c>
      <c r="I279" s="140">
        <f t="shared" si="90"/>
        <v>0</v>
      </c>
      <c r="J279" s="140">
        <f t="shared" si="90"/>
        <v>2075665.7000000002</v>
      </c>
      <c r="K279" s="140">
        <f t="shared" si="90"/>
        <v>823236.1</v>
      </c>
      <c r="L279" s="140">
        <f t="shared" si="90"/>
        <v>0</v>
      </c>
      <c r="M279" s="140">
        <f t="shared" si="90"/>
        <v>0</v>
      </c>
      <c r="N279" s="140">
        <f t="shared" si="90"/>
        <v>1303152.5</v>
      </c>
      <c r="O279" s="140">
        <f t="shared" si="90"/>
        <v>155458.1</v>
      </c>
      <c r="P279" s="140">
        <f t="shared" si="90"/>
        <v>0</v>
      </c>
      <c r="Q279" s="140">
        <f t="shared" si="90"/>
        <v>0</v>
      </c>
      <c r="R279" s="208" t="s">
        <v>15</v>
      </c>
      <c r="S279" s="208" t="s">
        <v>15</v>
      </c>
      <c r="T279" s="208" t="s">
        <v>15</v>
      </c>
      <c r="U279" s="208" t="s">
        <v>15</v>
      </c>
      <c r="V279" s="208" t="s">
        <v>15</v>
      </c>
      <c r="W279" s="208" t="s">
        <v>15</v>
      </c>
      <c r="X279" s="208" t="s">
        <v>15</v>
      </c>
      <c r="Y279" s="208" t="s">
        <v>15</v>
      </c>
      <c r="Z279" s="208" t="s">
        <v>15</v>
      </c>
      <c r="AA279" s="205" t="s">
        <v>77</v>
      </c>
      <c r="AB279" s="219" t="s">
        <v>456</v>
      </c>
      <c r="AC279" s="219" t="s">
        <v>952</v>
      </c>
    </row>
    <row r="280" spans="1:29" s="198" customFormat="1" ht="70.5" customHeight="1" x14ac:dyDescent="0.25">
      <c r="A280" s="141" t="s">
        <v>735</v>
      </c>
      <c r="B280" s="200" t="s">
        <v>938</v>
      </c>
      <c r="C280" s="205" t="s">
        <v>4</v>
      </c>
      <c r="D280" s="221" t="s">
        <v>449</v>
      </c>
      <c r="E280" s="221" t="s">
        <v>449</v>
      </c>
      <c r="F280" s="140">
        <f>SUM(F281:F291)</f>
        <v>561336.80000000005</v>
      </c>
      <c r="G280" s="140">
        <f t="shared" ref="G280:Q280" si="91">SUM(G281:G291)</f>
        <v>187112</v>
      </c>
      <c r="H280" s="140">
        <f t="shared" si="91"/>
        <v>0</v>
      </c>
      <c r="I280" s="140">
        <f t="shared" si="91"/>
        <v>0</v>
      </c>
      <c r="J280" s="140">
        <f t="shared" si="91"/>
        <v>479017.10000000003</v>
      </c>
      <c r="K280" s="140">
        <f t="shared" si="91"/>
        <v>159672.40000000002</v>
      </c>
      <c r="L280" s="140">
        <f t="shared" si="91"/>
        <v>0</v>
      </c>
      <c r="M280" s="140">
        <f t="shared" si="91"/>
        <v>0</v>
      </c>
      <c r="N280" s="140">
        <f t="shared" si="91"/>
        <v>193418.7</v>
      </c>
      <c r="O280" s="140">
        <f t="shared" si="91"/>
        <v>64472.9</v>
      </c>
      <c r="P280" s="140">
        <f t="shared" si="91"/>
        <v>0</v>
      </c>
      <c r="Q280" s="140">
        <f t="shared" si="91"/>
        <v>0</v>
      </c>
      <c r="R280" s="208" t="s">
        <v>15</v>
      </c>
      <c r="S280" s="208" t="s">
        <v>15</v>
      </c>
      <c r="T280" s="208" t="s">
        <v>15</v>
      </c>
      <c r="U280" s="208" t="s">
        <v>15</v>
      </c>
      <c r="V280" s="208" t="s">
        <v>15</v>
      </c>
      <c r="W280" s="208" t="s">
        <v>15</v>
      </c>
      <c r="X280" s="208" t="s">
        <v>15</v>
      </c>
      <c r="Y280" s="208" t="s">
        <v>15</v>
      </c>
      <c r="Z280" s="208" t="s">
        <v>15</v>
      </c>
      <c r="AA280" s="220" t="s">
        <v>951</v>
      </c>
      <c r="AB280" s="219"/>
      <c r="AC280" s="219"/>
    </row>
    <row r="281" spans="1:29" s="161" customFormat="1" ht="94.5" x14ac:dyDescent="0.25">
      <c r="A281" s="205" t="s">
        <v>769</v>
      </c>
      <c r="B281" s="200" t="s">
        <v>939</v>
      </c>
      <c r="C281" s="205" t="s">
        <v>4</v>
      </c>
      <c r="D281" s="221"/>
      <c r="E281" s="221"/>
      <c r="F281" s="140">
        <v>126536.6</v>
      </c>
      <c r="G281" s="140">
        <v>42178.8</v>
      </c>
      <c r="H281" s="140">
        <v>0</v>
      </c>
      <c r="I281" s="140">
        <v>0</v>
      </c>
      <c r="J281" s="140">
        <v>126536.6</v>
      </c>
      <c r="K281" s="140">
        <v>42178.8</v>
      </c>
      <c r="L281" s="140">
        <v>0</v>
      </c>
      <c r="M281" s="140">
        <v>0</v>
      </c>
      <c r="N281" s="140">
        <v>0</v>
      </c>
      <c r="O281" s="140">
        <v>0</v>
      </c>
      <c r="P281" s="140">
        <v>0</v>
      </c>
      <c r="Q281" s="140">
        <v>0</v>
      </c>
      <c r="R281" s="208">
        <v>2023</v>
      </c>
      <c r="S281" s="208">
        <v>2024</v>
      </c>
      <c r="T281" s="208" t="s">
        <v>15</v>
      </c>
      <c r="U281" s="208" t="s">
        <v>15</v>
      </c>
      <c r="V281" s="208" t="s">
        <v>766</v>
      </c>
      <c r="W281" s="208" t="s">
        <v>15</v>
      </c>
      <c r="X281" s="208" t="s">
        <v>15</v>
      </c>
      <c r="Y281" s="208" t="s">
        <v>15</v>
      </c>
      <c r="Z281" s="140">
        <f>168715.4*2</f>
        <v>337430.8</v>
      </c>
      <c r="AA281" s="220"/>
      <c r="AB281" s="219"/>
      <c r="AC281" s="219"/>
    </row>
    <row r="282" spans="1:29" s="161" customFormat="1" ht="127.5" customHeight="1" x14ac:dyDescent="0.25">
      <c r="A282" s="205" t="s">
        <v>770</v>
      </c>
      <c r="B282" s="200" t="s">
        <v>940</v>
      </c>
      <c r="C282" s="205" t="s">
        <v>4</v>
      </c>
      <c r="D282" s="221"/>
      <c r="E282" s="221"/>
      <c r="F282" s="140">
        <v>121757.6</v>
      </c>
      <c r="G282" s="140">
        <v>40585.9</v>
      </c>
      <c r="H282" s="140">
        <v>0</v>
      </c>
      <c r="I282" s="140">
        <v>0</v>
      </c>
      <c r="J282" s="140">
        <v>121757.6</v>
      </c>
      <c r="K282" s="140">
        <v>40585.9</v>
      </c>
      <c r="L282" s="140">
        <v>0</v>
      </c>
      <c r="M282" s="140">
        <v>0</v>
      </c>
      <c r="N282" s="140">
        <v>0</v>
      </c>
      <c r="O282" s="140">
        <v>0</v>
      </c>
      <c r="P282" s="140">
        <v>0</v>
      </c>
      <c r="Q282" s="140">
        <v>0</v>
      </c>
      <c r="R282" s="208">
        <v>2023</v>
      </c>
      <c r="S282" s="208">
        <v>2024</v>
      </c>
      <c r="T282" s="208" t="s">
        <v>478</v>
      </c>
      <c r="U282" s="208" t="s">
        <v>105</v>
      </c>
      <c r="V282" s="221" t="s">
        <v>953</v>
      </c>
      <c r="W282" s="221"/>
      <c r="X282" s="208" t="s">
        <v>479</v>
      </c>
      <c r="Y282" s="208">
        <v>2024</v>
      </c>
      <c r="Z282" s="140">
        <f>162343.5*2</f>
        <v>324687</v>
      </c>
      <c r="AA282" s="220"/>
      <c r="AB282" s="219"/>
      <c r="AC282" s="219"/>
    </row>
    <row r="283" spans="1:29" s="161" customFormat="1" ht="110.25" x14ac:dyDescent="0.25">
      <c r="A283" s="205" t="s">
        <v>771</v>
      </c>
      <c r="B283" s="200" t="s">
        <v>941</v>
      </c>
      <c r="C283" s="205" t="s">
        <v>4</v>
      </c>
      <c r="D283" s="221"/>
      <c r="E283" s="221"/>
      <c r="F283" s="140">
        <v>112552.2</v>
      </c>
      <c r="G283" s="140">
        <v>37517.4</v>
      </c>
      <c r="H283" s="140">
        <v>0</v>
      </c>
      <c r="I283" s="140">
        <v>0</v>
      </c>
      <c r="J283" s="140">
        <v>112552.2</v>
      </c>
      <c r="K283" s="140">
        <v>37517.4</v>
      </c>
      <c r="L283" s="140">
        <v>0</v>
      </c>
      <c r="M283" s="140">
        <v>0</v>
      </c>
      <c r="N283" s="140">
        <v>0</v>
      </c>
      <c r="O283" s="140">
        <v>0</v>
      </c>
      <c r="P283" s="140">
        <v>0</v>
      </c>
      <c r="Q283" s="140">
        <v>0</v>
      </c>
      <c r="R283" s="208">
        <v>2023</v>
      </c>
      <c r="S283" s="208">
        <v>2024</v>
      </c>
      <c r="T283" s="208" t="s">
        <v>15</v>
      </c>
      <c r="U283" s="208" t="s">
        <v>15</v>
      </c>
      <c r="V283" s="208" t="s">
        <v>767</v>
      </c>
      <c r="W283" s="208" t="s">
        <v>15</v>
      </c>
      <c r="X283" s="208" t="s">
        <v>15</v>
      </c>
      <c r="Y283" s="208" t="s">
        <v>15</v>
      </c>
      <c r="Z283" s="140">
        <f>150069.6*2</f>
        <v>300139.2</v>
      </c>
      <c r="AA283" s="220"/>
      <c r="AB283" s="219"/>
      <c r="AC283" s="219"/>
    </row>
    <row r="284" spans="1:29" s="161" customFormat="1" ht="144" customHeight="1" x14ac:dyDescent="0.25">
      <c r="A284" s="205" t="s">
        <v>772</v>
      </c>
      <c r="B284" s="200" t="s">
        <v>942</v>
      </c>
      <c r="C284" s="205" t="s">
        <v>4</v>
      </c>
      <c r="D284" s="221"/>
      <c r="E284" s="221"/>
      <c r="F284" s="140">
        <v>46648.7</v>
      </c>
      <c r="G284" s="140">
        <v>15549.6</v>
      </c>
      <c r="H284" s="140">
        <v>0</v>
      </c>
      <c r="I284" s="140">
        <v>0</v>
      </c>
      <c r="J284" s="140">
        <v>46648.7</v>
      </c>
      <c r="K284" s="140">
        <v>15549.6</v>
      </c>
      <c r="L284" s="140">
        <v>0</v>
      </c>
      <c r="M284" s="140">
        <v>0</v>
      </c>
      <c r="N284" s="140">
        <v>0</v>
      </c>
      <c r="O284" s="140">
        <v>0</v>
      </c>
      <c r="P284" s="140">
        <v>0</v>
      </c>
      <c r="Q284" s="140">
        <v>0</v>
      </c>
      <c r="R284" s="208">
        <v>2023</v>
      </c>
      <c r="S284" s="208">
        <v>2024</v>
      </c>
      <c r="T284" s="150" t="s">
        <v>476</v>
      </c>
      <c r="U284" s="208" t="s">
        <v>105</v>
      </c>
      <c r="V284" s="208" t="s">
        <v>1166</v>
      </c>
      <c r="W284" s="208" t="s">
        <v>15</v>
      </c>
      <c r="X284" s="208" t="s">
        <v>477</v>
      </c>
      <c r="Y284" s="208">
        <v>2024</v>
      </c>
      <c r="Z284" s="140">
        <f>62198.3*2</f>
        <v>124396.6</v>
      </c>
      <c r="AA284" s="220"/>
      <c r="AB284" s="219"/>
      <c r="AC284" s="219"/>
    </row>
    <row r="285" spans="1:29" s="161" customFormat="1" ht="37.5" customHeight="1" x14ac:dyDescent="0.25">
      <c r="A285" s="205" t="s">
        <v>773</v>
      </c>
      <c r="B285" s="200" t="s">
        <v>947</v>
      </c>
      <c r="C285" s="205" t="s">
        <v>4</v>
      </c>
      <c r="D285" s="221"/>
      <c r="E285" s="221"/>
      <c r="F285" s="140">
        <v>40894.699999999997</v>
      </c>
      <c r="G285" s="140">
        <v>13631.3</v>
      </c>
      <c r="H285" s="140">
        <v>0</v>
      </c>
      <c r="I285" s="140">
        <v>0</v>
      </c>
      <c r="J285" s="140">
        <v>40894.699999999997</v>
      </c>
      <c r="K285" s="140">
        <v>13631.6</v>
      </c>
      <c r="L285" s="140">
        <v>0</v>
      </c>
      <c r="M285" s="140">
        <v>0</v>
      </c>
      <c r="N285" s="140">
        <v>0</v>
      </c>
      <c r="O285" s="140">
        <v>0</v>
      </c>
      <c r="P285" s="140">
        <v>0</v>
      </c>
      <c r="Q285" s="140">
        <v>0</v>
      </c>
      <c r="R285" s="208">
        <v>2023</v>
      </c>
      <c r="S285" s="208">
        <v>2024</v>
      </c>
      <c r="T285" s="208" t="s">
        <v>15</v>
      </c>
      <c r="U285" s="208" t="s">
        <v>15</v>
      </c>
      <c r="V285" s="208"/>
      <c r="W285" s="208" t="s">
        <v>15</v>
      </c>
      <c r="X285" s="208" t="s">
        <v>15</v>
      </c>
      <c r="Y285" s="208" t="s">
        <v>15</v>
      </c>
      <c r="Z285" s="140">
        <f>54526.3*2</f>
        <v>109052.6</v>
      </c>
      <c r="AA285" s="220"/>
      <c r="AB285" s="219"/>
      <c r="AC285" s="219"/>
    </row>
    <row r="286" spans="1:29" s="161" customFormat="1" ht="47.25" x14ac:dyDescent="0.25">
      <c r="A286" s="205" t="s">
        <v>774</v>
      </c>
      <c r="B286" s="200" t="s">
        <v>948</v>
      </c>
      <c r="C286" s="205" t="s">
        <v>4</v>
      </c>
      <c r="D286" s="221"/>
      <c r="E286" s="221"/>
      <c r="F286" s="140">
        <v>60606.1</v>
      </c>
      <c r="G286" s="140">
        <v>20202</v>
      </c>
      <c r="H286" s="140">
        <v>0</v>
      </c>
      <c r="I286" s="140">
        <v>0</v>
      </c>
      <c r="J286" s="140">
        <v>0</v>
      </c>
      <c r="K286" s="140">
        <v>0</v>
      </c>
      <c r="L286" s="140">
        <v>0</v>
      </c>
      <c r="M286" s="140">
        <v>0</v>
      </c>
      <c r="N286" s="140">
        <v>0</v>
      </c>
      <c r="O286" s="140">
        <v>0</v>
      </c>
      <c r="P286" s="140">
        <v>0</v>
      </c>
      <c r="Q286" s="140">
        <v>0</v>
      </c>
      <c r="R286" s="208">
        <v>2022</v>
      </c>
      <c r="S286" s="208">
        <v>2023</v>
      </c>
      <c r="T286" s="208" t="s">
        <v>15</v>
      </c>
      <c r="U286" s="208" t="s">
        <v>15</v>
      </c>
      <c r="V286" s="208" t="s">
        <v>768</v>
      </c>
      <c r="W286" s="208" t="s">
        <v>15</v>
      </c>
      <c r="X286" s="208" t="s">
        <v>15</v>
      </c>
      <c r="Y286" s="208" t="s">
        <v>15</v>
      </c>
      <c r="Z286" s="140">
        <v>80808.100000000006</v>
      </c>
      <c r="AA286" s="220"/>
      <c r="AB286" s="219"/>
      <c r="AC286" s="219"/>
    </row>
    <row r="287" spans="1:29" s="161" customFormat="1" ht="40.5" customHeight="1" x14ac:dyDescent="0.25">
      <c r="A287" s="205" t="s">
        <v>775</v>
      </c>
      <c r="B287" s="200" t="s">
        <v>943</v>
      </c>
      <c r="C287" s="205" t="s">
        <v>4</v>
      </c>
      <c r="D287" s="221"/>
      <c r="E287" s="221"/>
      <c r="F287" s="140">
        <v>0</v>
      </c>
      <c r="G287" s="140">
        <v>0</v>
      </c>
      <c r="H287" s="140">
        <v>0</v>
      </c>
      <c r="I287" s="140">
        <v>0</v>
      </c>
      <c r="J287" s="140">
        <v>30627.3</v>
      </c>
      <c r="K287" s="140">
        <v>10209.1</v>
      </c>
      <c r="L287" s="140">
        <v>0</v>
      </c>
      <c r="M287" s="140">
        <v>0</v>
      </c>
      <c r="N287" s="140">
        <v>30627.3</v>
      </c>
      <c r="O287" s="140">
        <v>10209.1</v>
      </c>
      <c r="P287" s="140">
        <v>0</v>
      </c>
      <c r="Q287" s="140">
        <v>0</v>
      </c>
      <c r="R287" s="208">
        <v>2023</v>
      </c>
      <c r="S287" s="208">
        <v>2024</v>
      </c>
      <c r="T287" s="208" t="s">
        <v>15</v>
      </c>
      <c r="U287" s="208" t="s">
        <v>15</v>
      </c>
      <c r="V287" s="208" t="s">
        <v>15</v>
      </c>
      <c r="W287" s="208" t="s">
        <v>15</v>
      </c>
      <c r="X287" s="208" t="s">
        <v>15</v>
      </c>
      <c r="Y287" s="208" t="s">
        <v>15</v>
      </c>
      <c r="Z287" s="140">
        <f>40836.4*2</f>
        <v>81672.800000000003</v>
      </c>
      <c r="AA287" s="220"/>
      <c r="AB287" s="219"/>
      <c r="AC287" s="219"/>
    </row>
    <row r="288" spans="1:29" s="161" customFormat="1" ht="54.75" customHeight="1" x14ac:dyDescent="0.25">
      <c r="A288" s="205" t="s">
        <v>776</v>
      </c>
      <c r="B288" s="200" t="s">
        <v>944</v>
      </c>
      <c r="C288" s="205" t="s">
        <v>4</v>
      </c>
      <c r="D288" s="221"/>
      <c r="E288" s="221"/>
      <c r="F288" s="140">
        <v>52340.9</v>
      </c>
      <c r="G288" s="140">
        <v>17447</v>
      </c>
      <c r="H288" s="140">
        <v>0</v>
      </c>
      <c r="I288" s="140">
        <v>0</v>
      </c>
      <c r="J288" s="140">
        <v>0</v>
      </c>
      <c r="K288" s="140">
        <v>0</v>
      </c>
      <c r="L288" s="140">
        <v>0</v>
      </c>
      <c r="M288" s="140">
        <v>0</v>
      </c>
      <c r="N288" s="140">
        <v>0</v>
      </c>
      <c r="O288" s="140">
        <v>0</v>
      </c>
      <c r="P288" s="140">
        <v>0</v>
      </c>
      <c r="Q288" s="140">
        <v>0</v>
      </c>
      <c r="R288" s="208">
        <v>2023</v>
      </c>
      <c r="S288" s="208">
        <v>2023</v>
      </c>
      <c r="T288" s="208" t="s">
        <v>15</v>
      </c>
      <c r="U288" s="208" t="s">
        <v>15</v>
      </c>
      <c r="V288" s="208" t="s">
        <v>15</v>
      </c>
      <c r="W288" s="208" t="s">
        <v>15</v>
      </c>
      <c r="X288" s="208" t="s">
        <v>15</v>
      </c>
      <c r="Y288" s="208" t="s">
        <v>15</v>
      </c>
      <c r="Z288" s="140">
        <v>69787.899999999994</v>
      </c>
      <c r="AA288" s="220"/>
      <c r="AB288" s="219"/>
      <c r="AC288" s="219"/>
    </row>
    <row r="289" spans="1:29" s="161" customFormat="1" ht="54.75" customHeight="1" x14ac:dyDescent="0.25">
      <c r="A289" s="205" t="s">
        <v>777</v>
      </c>
      <c r="B289" s="200" t="s">
        <v>949</v>
      </c>
      <c r="C289" s="205" t="s">
        <v>4</v>
      </c>
      <c r="D289" s="221"/>
      <c r="E289" s="221"/>
      <c r="F289" s="140">
        <v>0</v>
      </c>
      <c r="G289" s="140">
        <v>0</v>
      </c>
      <c r="H289" s="140">
        <v>0</v>
      </c>
      <c r="I289" s="140">
        <v>0</v>
      </c>
      <c r="J289" s="140">
        <v>0</v>
      </c>
      <c r="K289" s="140">
        <v>0</v>
      </c>
      <c r="L289" s="140">
        <v>0</v>
      </c>
      <c r="M289" s="140">
        <v>0</v>
      </c>
      <c r="N289" s="140">
        <v>30233.200000000001</v>
      </c>
      <c r="O289" s="140">
        <v>10077.700000000001</v>
      </c>
      <c r="P289" s="140">
        <v>0</v>
      </c>
      <c r="Q289" s="140">
        <v>0</v>
      </c>
      <c r="R289" s="208">
        <v>2025</v>
      </c>
      <c r="S289" s="208">
        <v>2025</v>
      </c>
      <c r="T289" s="208" t="s">
        <v>15</v>
      </c>
      <c r="U289" s="208" t="s">
        <v>15</v>
      </c>
      <c r="V289" s="208" t="s">
        <v>15</v>
      </c>
      <c r="W289" s="208" t="s">
        <v>15</v>
      </c>
      <c r="X289" s="208" t="s">
        <v>15</v>
      </c>
      <c r="Y289" s="208" t="s">
        <v>15</v>
      </c>
      <c r="Z289" s="140">
        <v>40310.9</v>
      </c>
      <c r="AA289" s="220"/>
      <c r="AB289" s="219"/>
      <c r="AC289" s="219"/>
    </row>
    <row r="290" spans="1:29" s="161" customFormat="1" ht="53.25" customHeight="1" x14ac:dyDescent="0.25">
      <c r="A290" s="205" t="s">
        <v>778</v>
      </c>
      <c r="B290" s="200" t="s">
        <v>945</v>
      </c>
      <c r="C290" s="205" t="s">
        <v>4</v>
      </c>
      <c r="D290" s="221"/>
      <c r="E290" s="221"/>
      <c r="F290" s="140">
        <v>0</v>
      </c>
      <c r="G290" s="140">
        <v>0</v>
      </c>
      <c r="H290" s="140">
        <v>0</v>
      </c>
      <c r="I290" s="140">
        <v>0</v>
      </c>
      <c r="J290" s="140">
        <v>0</v>
      </c>
      <c r="K290" s="140">
        <v>0</v>
      </c>
      <c r="L290" s="140">
        <v>0</v>
      </c>
      <c r="M290" s="140">
        <v>0</v>
      </c>
      <c r="N290" s="140">
        <v>20058.2</v>
      </c>
      <c r="O290" s="140">
        <v>6686.1</v>
      </c>
      <c r="P290" s="140">
        <v>0</v>
      </c>
      <c r="Q290" s="140">
        <v>0</v>
      </c>
      <c r="R290" s="208">
        <v>2025</v>
      </c>
      <c r="S290" s="208">
        <v>2025</v>
      </c>
      <c r="T290" s="208" t="s">
        <v>15</v>
      </c>
      <c r="U290" s="208" t="s">
        <v>15</v>
      </c>
      <c r="V290" s="208" t="s">
        <v>15</v>
      </c>
      <c r="W290" s="208" t="s">
        <v>15</v>
      </c>
      <c r="X290" s="208" t="s">
        <v>15</v>
      </c>
      <c r="Y290" s="208" t="s">
        <v>15</v>
      </c>
      <c r="Z290" s="140">
        <v>26744.3</v>
      </c>
      <c r="AA290" s="220"/>
      <c r="AB290" s="219"/>
      <c r="AC290" s="219"/>
    </row>
    <row r="291" spans="1:29" s="161" customFormat="1" ht="36.75" customHeight="1" x14ac:dyDescent="0.25">
      <c r="A291" s="205" t="s">
        <v>779</v>
      </c>
      <c r="B291" s="200" t="s">
        <v>946</v>
      </c>
      <c r="C291" s="205" t="s">
        <v>4</v>
      </c>
      <c r="D291" s="221"/>
      <c r="E291" s="221"/>
      <c r="F291" s="140">
        <v>0</v>
      </c>
      <c r="G291" s="140">
        <v>0</v>
      </c>
      <c r="H291" s="140">
        <v>0</v>
      </c>
      <c r="I291" s="140">
        <v>0</v>
      </c>
      <c r="J291" s="140">
        <v>0</v>
      </c>
      <c r="K291" s="140">
        <v>0</v>
      </c>
      <c r="L291" s="140">
        <v>0</v>
      </c>
      <c r="M291" s="140">
        <v>0</v>
      </c>
      <c r="N291" s="140">
        <v>112500</v>
      </c>
      <c r="O291" s="140">
        <v>37500</v>
      </c>
      <c r="P291" s="140">
        <v>0</v>
      </c>
      <c r="Q291" s="140">
        <v>0</v>
      </c>
      <c r="R291" s="208">
        <v>2025</v>
      </c>
      <c r="S291" s="208">
        <v>2025</v>
      </c>
      <c r="T291" s="208" t="s">
        <v>15</v>
      </c>
      <c r="U291" s="208" t="s">
        <v>15</v>
      </c>
      <c r="V291" s="208" t="s">
        <v>15</v>
      </c>
      <c r="W291" s="208" t="s">
        <v>15</v>
      </c>
      <c r="X291" s="208" t="s">
        <v>15</v>
      </c>
      <c r="Y291" s="208" t="s">
        <v>15</v>
      </c>
      <c r="Z291" s="140">
        <v>150000</v>
      </c>
      <c r="AA291" s="220"/>
      <c r="AB291" s="219"/>
      <c r="AC291" s="219"/>
    </row>
    <row r="292" spans="1:29" s="198" customFormat="1" ht="51" customHeight="1" x14ac:dyDescent="0.25">
      <c r="A292" s="141" t="s">
        <v>736</v>
      </c>
      <c r="B292" s="200" t="s">
        <v>740</v>
      </c>
      <c r="C292" s="205" t="s">
        <v>4</v>
      </c>
      <c r="D292" s="221" t="s">
        <v>449</v>
      </c>
      <c r="E292" s="221" t="s">
        <v>377</v>
      </c>
      <c r="F292" s="140">
        <v>252500</v>
      </c>
      <c r="G292" s="140">
        <v>87500</v>
      </c>
      <c r="H292" s="140">
        <v>0</v>
      </c>
      <c r="I292" s="140">
        <v>0</v>
      </c>
      <c r="J292" s="140">
        <v>252500</v>
      </c>
      <c r="K292" s="140">
        <v>87500</v>
      </c>
      <c r="L292" s="140">
        <v>0</v>
      </c>
      <c r="M292" s="140">
        <v>0</v>
      </c>
      <c r="N292" s="140">
        <v>0</v>
      </c>
      <c r="O292" s="140">
        <v>0</v>
      </c>
      <c r="P292" s="140">
        <v>0</v>
      </c>
      <c r="Q292" s="140">
        <v>0</v>
      </c>
      <c r="R292" s="208" t="s">
        <v>15</v>
      </c>
      <c r="S292" s="208" t="s">
        <v>15</v>
      </c>
      <c r="T292" s="208" t="s">
        <v>15</v>
      </c>
      <c r="U292" s="208" t="s">
        <v>15</v>
      </c>
      <c r="V292" s="208" t="s">
        <v>15</v>
      </c>
      <c r="W292" s="208" t="s">
        <v>15</v>
      </c>
      <c r="X292" s="208" t="s">
        <v>15</v>
      </c>
      <c r="Y292" s="208" t="s">
        <v>15</v>
      </c>
      <c r="Z292" s="208" t="s">
        <v>15</v>
      </c>
      <c r="AA292" s="220" t="s">
        <v>954</v>
      </c>
      <c r="AB292" s="219"/>
      <c r="AC292" s="219"/>
    </row>
    <row r="293" spans="1:29" s="161" customFormat="1" ht="47.25" x14ac:dyDescent="0.25">
      <c r="A293" s="205" t="s">
        <v>780</v>
      </c>
      <c r="B293" s="200" t="s">
        <v>950</v>
      </c>
      <c r="C293" s="205" t="s">
        <v>4</v>
      </c>
      <c r="D293" s="221"/>
      <c r="E293" s="221"/>
      <c r="F293" s="140">
        <v>252500</v>
      </c>
      <c r="G293" s="140">
        <v>87500</v>
      </c>
      <c r="H293" s="140">
        <v>0</v>
      </c>
      <c r="I293" s="140">
        <v>0</v>
      </c>
      <c r="J293" s="140">
        <v>252500</v>
      </c>
      <c r="K293" s="140">
        <v>87500</v>
      </c>
      <c r="L293" s="140">
        <v>0</v>
      </c>
      <c r="M293" s="140">
        <v>0</v>
      </c>
      <c r="N293" s="140">
        <v>0</v>
      </c>
      <c r="O293" s="140">
        <v>0</v>
      </c>
      <c r="P293" s="140">
        <v>0</v>
      </c>
      <c r="Q293" s="140">
        <v>0</v>
      </c>
      <c r="R293" s="208">
        <v>2023</v>
      </c>
      <c r="S293" s="208">
        <v>2024</v>
      </c>
      <c r="T293" s="208" t="s">
        <v>15</v>
      </c>
      <c r="U293" s="208" t="s">
        <v>15</v>
      </c>
      <c r="V293" s="208" t="s">
        <v>15</v>
      </c>
      <c r="W293" s="208" t="s">
        <v>15</v>
      </c>
      <c r="X293" s="208" t="s">
        <v>15</v>
      </c>
      <c r="Y293" s="208" t="s">
        <v>15</v>
      </c>
      <c r="Z293" s="208" t="s">
        <v>15</v>
      </c>
      <c r="AA293" s="220"/>
      <c r="AB293" s="219"/>
      <c r="AC293" s="219"/>
    </row>
    <row r="294" spans="1:29" s="198" customFormat="1" ht="31.5" x14ac:dyDescent="0.25">
      <c r="A294" s="141" t="s">
        <v>737</v>
      </c>
      <c r="B294" s="200" t="s">
        <v>741</v>
      </c>
      <c r="C294" s="205" t="s">
        <v>4</v>
      </c>
      <c r="D294" s="221" t="s">
        <v>449</v>
      </c>
      <c r="E294" s="221" t="s">
        <v>1077</v>
      </c>
      <c r="F294" s="140">
        <f>F295+F296+F297+F298+F299+F300+F301</f>
        <v>981337.20000000007</v>
      </c>
      <c r="G294" s="140">
        <f t="shared" ref="G294:Q294" si="92">G295+G296+G297+G298+G299+G300+G301</f>
        <v>420573</v>
      </c>
      <c r="H294" s="140">
        <f t="shared" si="92"/>
        <v>0</v>
      </c>
      <c r="I294" s="140">
        <f t="shared" si="92"/>
        <v>0</v>
      </c>
      <c r="J294" s="140">
        <f t="shared" si="92"/>
        <v>1344148.6</v>
      </c>
      <c r="K294" s="140">
        <f t="shared" si="92"/>
        <v>576063.69999999995</v>
      </c>
      <c r="L294" s="140">
        <f t="shared" si="92"/>
        <v>0</v>
      </c>
      <c r="M294" s="140">
        <f t="shared" si="92"/>
        <v>0</v>
      </c>
      <c r="N294" s="140">
        <f t="shared" si="92"/>
        <v>1109733.8</v>
      </c>
      <c r="O294" s="140">
        <f t="shared" si="92"/>
        <v>90985.2</v>
      </c>
      <c r="P294" s="140">
        <f t="shared" si="92"/>
        <v>0</v>
      </c>
      <c r="Q294" s="140">
        <f t="shared" si="92"/>
        <v>0</v>
      </c>
      <c r="R294" s="208" t="s">
        <v>15</v>
      </c>
      <c r="S294" s="208" t="s">
        <v>15</v>
      </c>
      <c r="T294" s="208" t="s">
        <v>15</v>
      </c>
      <c r="U294" s="208" t="s">
        <v>15</v>
      </c>
      <c r="V294" s="208" t="s">
        <v>15</v>
      </c>
      <c r="W294" s="208" t="s">
        <v>15</v>
      </c>
      <c r="X294" s="208" t="s">
        <v>15</v>
      </c>
      <c r="Y294" s="208" t="s">
        <v>15</v>
      </c>
      <c r="Z294" s="208" t="s">
        <v>15</v>
      </c>
      <c r="AA294" s="220" t="s">
        <v>955</v>
      </c>
      <c r="AB294" s="219"/>
      <c r="AC294" s="219"/>
    </row>
    <row r="295" spans="1:29" s="161" customFormat="1" ht="63" x14ac:dyDescent="0.25">
      <c r="A295" s="205" t="s">
        <v>783</v>
      </c>
      <c r="B295" s="200" t="s">
        <v>791</v>
      </c>
      <c r="C295" s="205" t="s">
        <v>4</v>
      </c>
      <c r="D295" s="221"/>
      <c r="E295" s="221"/>
      <c r="F295" s="140">
        <v>898333.8</v>
      </c>
      <c r="G295" s="140">
        <v>385000.2</v>
      </c>
      <c r="H295" s="140">
        <v>0</v>
      </c>
      <c r="I295" s="140">
        <v>0</v>
      </c>
      <c r="J295" s="140">
        <v>898333.8</v>
      </c>
      <c r="K295" s="140">
        <v>385000.2</v>
      </c>
      <c r="L295" s="140">
        <v>0</v>
      </c>
      <c r="M295" s="140">
        <v>0</v>
      </c>
      <c r="N295" s="140">
        <v>898333.8</v>
      </c>
      <c r="O295" s="140">
        <v>385.2</v>
      </c>
      <c r="P295" s="140">
        <v>0</v>
      </c>
      <c r="Q295" s="140">
        <v>0</v>
      </c>
      <c r="R295" s="208">
        <v>2023</v>
      </c>
      <c r="S295" s="208">
        <v>2025</v>
      </c>
      <c r="T295" s="208" t="s">
        <v>15</v>
      </c>
      <c r="U295" s="208" t="s">
        <v>15</v>
      </c>
      <c r="V295" s="208" t="s">
        <v>15</v>
      </c>
      <c r="W295" s="208" t="s">
        <v>15</v>
      </c>
      <c r="X295" s="208" t="s">
        <v>15</v>
      </c>
      <c r="Y295" s="208" t="s">
        <v>15</v>
      </c>
      <c r="Z295" s="208" t="s">
        <v>15</v>
      </c>
      <c r="AA295" s="220"/>
      <c r="AB295" s="219"/>
      <c r="AC295" s="219"/>
    </row>
    <row r="296" spans="1:29" s="161" customFormat="1" ht="47.25" x14ac:dyDescent="0.25">
      <c r="A296" s="205" t="s">
        <v>784</v>
      </c>
      <c r="B296" s="200" t="s">
        <v>1054</v>
      </c>
      <c r="C296" s="205" t="s">
        <v>4</v>
      </c>
      <c r="D296" s="221"/>
      <c r="E296" s="221"/>
      <c r="F296" s="140">
        <v>63015.5</v>
      </c>
      <c r="G296" s="140">
        <v>27006.6</v>
      </c>
      <c r="H296" s="140">
        <v>0</v>
      </c>
      <c r="I296" s="140">
        <v>0</v>
      </c>
      <c r="J296" s="140">
        <v>34215.4</v>
      </c>
      <c r="K296" s="140">
        <v>14663.7</v>
      </c>
      <c r="L296" s="140">
        <v>0</v>
      </c>
      <c r="M296" s="140">
        <v>0</v>
      </c>
      <c r="N296" s="140">
        <v>0</v>
      </c>
      <c r="O296" s="140">
        <v>0</v>
      </c>
      <c r="P296" s="140">
        <v>0</v>
      </c>
      <c r="Q296" s="140">
        <v>0</v>
      </c>
      <c r="R296" s="208">
        <v>2023</v>
      </c>
      <c r="S296" s="208">
        <v>2024</v>
      </c>
      <c r="T296" s="208" t="s">
        <v>15</v>
      </c>
      <c r="U296" s="208" t="s">
        <v>15</v>
      </c>
      <c r="V296" s="208" t="s">
        <v>15</v>
      </c>
      <c r="W296" s="208" t="s">
        <v>15</v>
      </c>
      <c r="X296" s="208" t="s">
        <v>15</v>
      </c>
      <c r="Y296" s="208" t="s">
        <v>15</v>
      </c>
      <c r="Z296" s="208" t="s">
        <v>15</v>
      </c>
      <c r="AA296" s="220"/>
      <c r="AB296" s="219"/>
      <c r="AC296" s="219"/>
    </row>
    <row r="297" spans="1:29" s="161" customFormat="1" ht="31.5" x14ac:dyDescent="0.25">
      <c r="A297" s="205" t="s">
        <v>785</v>
      </c>
      <c r="B297" s="200" t="s">
        <v>782</v>
      </c>
      <c r="C297" s="205" t="s">
        <v>4</v>
      </c>
      <c r="D297" s="221"/>
      <c r="E297" s="221"/>
      <c r="F297" s="140">
        <v>19987.900000000001</v>
      </c>
      <c r="G297" s="140">
        <v>8566.2000000000007</v>
      </c>
      <c r="H297" s="140">
        <v>0</v>
      </c>
      <c r="I297" s="140">
        <v>0</v>
      </c>
      <c r="J297" s="140">
        <v>0</v>
      </c>
      <c r="K297" s="140">
        <v>0</v>
      </c>
      <c r="L297" s="140">
        <v>0</v>
      </c>
      <c r="M297" s="140">
        <v>0</v>
      </c>
      <c r="N297" s="140">
        <v>0</v>
      </c>
      <c r="O297" s="140">
        <v>0</v>
      </c>
      <c r="P297" s="140">
        <v>0</v>
      </c>
      <c r="Q297" s="140">
        <v>0</v>
      </c>
      <c r="R297" s="208">
        <v>2023</v>
      </c>
      <c r="S297" s="208">
        <v>2023</v>
      </c>
      <c r="T297" s="208" t="s">
        <v>15</v>
      </c>
      <c r="U297" s="208" t="s">
        <v>15</v>
      </c>
      <c r="V297" s="208" t="s">
        <v>15</v>
      </c>
      <c r="W297" s="208" t="s">
        <v>15</v>
      </c>
      <c r="X297" s="208" t="s">
        <v>15</v>
      </c>
      <c r="Y297" s="208" t="s">
        <v>15</v>
      </c>
      <c r="Z297" s="208" t="s">
        <v>15</v>
      </c>
      <c r="AA297" s="220"/>
      <c r="AB297" s="219"/>
      <c r="AC297" s="219"/>
    </row>
    <row r="298" spans="1:29" s="161" customFormat="1" ht="31.5" x14ac:dyDescent="0.25">
      <c r="A298" s="205" t="s">
        <v>786</v>
      </c>
      <c r="B298" s="200" t="s">
        <v>790</v>
      </c>
      <c r="C298" s="205" t="s">
        <v>4</v>
      </c>
      <c r="D298" s="221"/>
      <c r="E298" s="221"/>
      <c r="F298" s="140">
        <v>0</v>
      </c>
      <c r="G298" s="140">
        <v>0</v>
      </c>
      <c r="H298" s="140">
        <v>0</v>
      </c>
      <c r="I298" s="140">
        <v>0</v>
      </c>
      <c r="J298" s="140">
        <v>210000</v>
      </c>
      <c r="K298" s="140">
        <v>90000</v>
      </c>
      <c r="L298" s="140">
        <v>0</v>
      </c>
      <c r="M298" s="140">
        <v>0</v>
      </c>
      <c r="N298" s="140">
        <v>0</v>
      </c>
      <c r="O298" s="140">
        <v>0</v>
      </c>
      <c r="P298" s="140">
        <v>0</v>
      </c>
      <c r="Q298" s="140">
        <v>0</v>
      </c>
      <c r="R298" s="208">
        <v>2024</v>
      </c>
      <c r="S298" s="208">
        <v>2024</v>
      </c>
      <c r="T298" s="208" t="s">
        <v>15</v>
      </c>
      <c r="U298" s="208" t="s">
        <v>15</v>
      </c>
      <c r="V298" s="208" t="s">
        <v>15</v>
      </c>
      <c r="W298" s="208" t="s">
        <v>15</v>
      </c>
      <c r="X298" s="208" t="s">
        <v>15</v>
      </c>
      <c r="Y298" s="208" t="s">
        <v>15</v>
      </c>
      <c r="Z298" s="208" t="s">
        <v>15</v>
      </c>
      <c r="AA298" s="220"/>
      <c r="AB298" s="219"/>
      <c r="AC298" s="219"/>
    </row>
    <row r="299" spans="1:29" s="161" customFormat="1" ht="47.25" x14ac:dyDescent="0.25">
      <c r="A299" s="205" t="s">
        <v>787</v>
      </c>
      <c r="B299" s="200" t="s">
        <v>781</v>
      </c>
      <c r="C299" s="205" t="s">
        <v>4</v>
      </c>
      <c r="D299" s="221"/>
      <c r="E299" s="221"/>
      <c r="F299" s="140">
        <v>0</v>
      </c>
      <c r="G299" s="140">
        <v>0</v>
      </c>
      <c r="H299" s="140">
        <v>0</v>
      </c>
      <c r="I299" s="140">
        <v>0</v>
      </c>
      <c r="J299" s="140">
        <v>179181.7</v>
      </c>
      <c r="K299" s="140">
        <v>76792.2</v>
      </c>
      <c r="L299" s="140">
        <v>0</v>
      </c>
      <c r="M299" s="140">
        <v>0</v>
      </c>
      <c r="N299" s="140">
        <v>0</v>
      </c>
      <c r="O299" s="140">
        <v>0</v>
      </c>
      <c r="P299" s="140">
        <v>0</v>
      </c>
      <c r="Q299" s="140">
        <v>0</v>
      </c>
      <c r="R299" s="208">
        <v>2024</v>
      </c>
      <c r="S299" s="208">
        <v>2024</v>
      </c>
      <c r="T299" s="208" t="s">
        <v>15</v>
      </c>
      <c r="U299" s="208" t="s">
        <v>15</v>
      </c>
      <c r="V299" s="208" t="s">
        <v>15</v>
      </c>
      <c r="W299" s="208" t="s">
        <v>15</v>
      </c>
      <c r="X299" s="208" t="s">
        <v>15</v>
      </c>
      <c r="Y299" s="208" t="s">
        <v>15</v>
      </c>
      <c r="Z299" s="208" t="s">
        <v>15</v>
      </c>
      <c r="AA299" s="220"/>
      <c r="AB299" s="219"/>
      <c r="AC299" s="219"/>
    </row>
    <row r="300" spans="1:29" s="161" customFormat="1" ht="31.5" x14ac:dyDescent="0.25">
      <c r="A300" s="205" t="s">
        <v>788</v>
      </c>
      <c r="B300" s="200" t="s">
        <v>1175</v>
      </c>
      <c r="C300" s="205" t="s">
        <v>4</v>
      </c>
      <c r="D300" s="221"/>
      <c r="E300" s="221"/>
      <c r="F300" s="140">
        <v>0</v>
      </c>
      <c r="G300" s="140">
        <v>0</v>
      </c>
      <c r="H300" s="140">
        <v>0</v>
      </c>
      <c r="I300" s="140">
        <v>0</v>
      </c>
      <c r="J300" s="140">
        <v>22417.7</v>
      </c>
      <c r="K300" s="140">
        <v>9607.6</v>
      </c>
      <c r="L300" s="140">
        <v>0</v>
      </c>
      <c r="M300" s="140">
        <v>0</v>
      </c>
      <c r="N300" s="140">
        <v>0</v>
      </c>
      <c r="O300" s="140">
        <v>0</v>
      </c>
      <c r="P300" s="140">
        <v>0</v>
      </c>
      <c r="Q300" s="140">
        <v>0</v>
      </c>
      <c r="R300" s="208">
        <v>2024</v>
      </c>
      <c r="S300" s="208">
        <v>2024</v>
      </c>
      <c r="T300" s="208" t="s">
        <v>15</v>
      </c>
      <c r="U300" s="208" t="s">
        <v>15</v>
      </c>
      <c r="V300" s="208" t="s">
        <v>15</v>
      </c>
      <c r="W300" s="208" t="s">
        <v>15</v>
      </c>
      <c r="X300" s="208" t="s">
        <v>15</v>
      </c>
      <c r="Y300" s="208" t="s">
        <v>15</v>
      </c>
      <c r="Z300" s="208" t="s">
        <v>15</v>
      </c>
      <c r="AA300" s="220"/>
      <c r="AB300" s="219"/>
      <c r="AC300" s="219"/>
    </row>
    <row r="301" spans="1:29" s="161" customFormat="1" ht="50.25" customHeight="1" x14ac:dyDescent="0.25">
      <c r="A301" s="205" t="s">
        <v>789</v>
      </c>
      <c r="B301" s="200" t="s">
        <v>1174</v>
      </c>
      <c r="C301" s="205" t="s">
        <v>4</v>
      </c>
      <c r="D301" s="221"/>
      <c r="E301" s="221"/>
      <c r="F301" s="140">
        <v>0</v>
      </c>
      <c r="G301" s="140">
        <v>0</v>
      </c>
      <c r="H301" s="140">
        <v>0</v>
      </c>
      <c r="I301" s="140">
        <v>0</v>
      </c>
      <c r="J301" s="140">
        <v>0</v>
      </c>
      <c r="K301" s="140">
        <v>0</v>
      </c>
      <c r="L301" s="140">
        <v>0</v>
      </c>
      <c r="M301" s="140">
        <v>0</v>
      </c>
      <c r="N301" s="140">
        <v>211400</v>
      </c>
      <c r="O301" s="140">
        <v>90600</v>
      </c>
      <c r="P301" s="140">
        <v>0</v>
      </c>
      <c r="Q301" s="140">
        <v>0</v>
      </c>
      <c r="R301" s="208">
        <v>2025</v>
      </c>
      <c r="S301" s="208">
        <v>2025</v>
      </c>
      <c r="T301" s="208" t="s">
        <v>15</v>
      </c>
      <c r="U301" s="208" t="s">
        <v>15</v>
      </c>
      <c r="V301" s="208" t="s">
        <v>15</v>
      </c>
      <c r="W301" s="208" t="s">
        <v>15</v>
      </c>
      <c r="X301" s="208" t="s">
        <v>15</v>
      </c>
      <c r="Y301" s="208" t="s">
        <v>15</v>
      </c>
      <c r="Z301" s="208" t="s">
        <v>15</v>
      </c>
      <c r="AA301" s="220"/>
      <c r="AB301" s="219"/>
      <c r="AC301" s="219"/>
    </row>
    <row r="302" spans="1:29" s="161" customFormat="1" ht="50.25" customHeight="1" x14ac:dyDescent="0.25">
      <c r="A302" s="205" t="s">
        <v>287</v>
      </c>
      <c r="B302" s="142" t="s">
        <v>1143</v>
      </c>
      <c r="C302" s="205" t="s">
        <v>4</v>
      </c>
      <c r="D302" s="221" t="s">
        <v>449</v>
      </c>
      <c r="E302" s="221" t="s">
        <v>377</v>
      </c>
      <c r="F302" s="140">
        <f>SUM(F303:F306)</f>
        <v>74407.5</v>
      </c>
      <c r="G302" s="140">
        <f t="shared" ref="G302:Q302" si="93">SUM(G303:G306)</f>
        <v>3100.3</v>
      </c>
      <c r="H302" s="140">
        <f t="shared" si="93"/>
        <v>0</v>
      </c>
      <c r="I302" s="140">
        <f t="shared" si="93"/>
        <v>0</v>
      </c>
      <c r="J302" s="140">
        <f t="shared" si="93"/>
        <v>448224.1</v>
      </c>
      <c r="K302" s="140">
        <f t="shared" si="93"/>
        <v>15876</v>
      </c>
      <c r="L302" s="140">
        <f t="shared" si="93"/>
        <v>2800</v>
      </c>
      <c r="M302" s="140">
        <f t="shared" si="93"/>
        <v>0</v>
      </c>
      <c r="N302" s="140">
        <f t="shared" si="93"/>
        <v>0</v>
      </c>
      <c r="O302" s="140">
        <f t="shared" si="93"/>
        <v>0</v>
      </c>
      <c r="P302" s="140">
        <f t="shared" si="93"/>
        <v>0</v>
      </c>
      <c r="Q302" s="140">
        <f t="shared" si="93"/>
        <v>0</v>
      </c>
      <c r="R302" s="208" t="s">
        <v>15</v>
      </c>
      <c r="S302" s="208" t="s">
        <v>15</v>
      </c>
      <c r="T302" s="208" t="s">
        <v>15</v>
      </c>
      <c r="U302" s="208" t="s">
        <v>15</v>
      </c>
      <c r="V302" s="208" t="s">
        <v>15</v>
      </c>
      <c r="W302" s="208" t="s">
        <v>15</v>
      </c>
      <c r="X302" s="208" t="s">
        <v>15</v>
      </c>
      <c r="Y302" s="208" t="s">
        <v>15</v>
      </c>
      <c r="Z302" s="208" t="s">
        <v>15</v>
      </c>
      <c r="AA302" s="220" t="s">
        <v>1148</v>
      </c>
      <c r="AB302" s="220" t="s">
        <v>1149</v>
      </c>
      <c r="AC302" s="220" t="s">
        <v>1150</v>
      </c>
    </row>
    <row r="303" spans="1:29" s="161" customFormat="1" ht="293.25" customHeight="1" x14ac:dyDescent="0.25">
      <c r="A303" s="205" t="s">
        <v>1144</v>
      </c>
      <c r="B303" s="200" t="s">
        <v>1137</v>
      </c>
      <c r="C303" s="205" t="s">
        <v>4</v>
      </c>
      <c r="D303" s="221"/>
      <c r="E303" s="221"/>
      <c r="F303" s="140">
        <v>40591.5</v>
      </c>
      <c r="G303" s="140">
        <v>1691.3</v>
      </c>
      <c r="H303" s="140">
        <v>0</v>
      </c>
      <c r="I303" s="140">
        <v>0</v>
      </c>
      <c r="J303" s="140">
        <v>0</v>
      </c>
      <c r="K303" s="140">
        <v>0</v>
      </c>
      <c r="L303" s="140">
        <v>0</v>
      </c>
      <c r="M303" s="140">
        <v>0</v>
      </c>
      <c r="N303" s="140">
        <v>0</v>
      </c>
      <c r="O303" s="140">
        <v>0</v>
      </c>
      <c r="P303" s="140">
        <v>0</v>
      </c>
      <c r="Q303" s="140">
        <v>0</v>
      </c>
      <c r="R303" s="208">
        <v>2023</v>
      </c>
      <c r="S303" s="208">
        <v>2023</v>
      </c>
      <c r="T303" s="208" t="s">
        <v>15</v>
      </c>
      <c r="U303" s="208" t="s">
        <v>15</v>
      </c>
      <c r="V303" s="208" t="s">
        <v>1151</v>
      </c>
      <c r="W303" s="208" t="s">
        <v>15</v>
      </c>
      <c r="X303" s="208" t="s">
        <v>15</v>
      </c>
      <c r="Y303" s="208" t="s">
        <v>15</v>
      </c>
      <c r="Z303" s="140">
        <v>42282.8</v>
      </c>
      <c r="AA303" s="220"/>
      <c r="AB303" s="220"/>
      <c r="AC303" s="220"/>
    </row>
    <row r="304" spans="1:29" s="161" customFormat="1" ht="116.25" customHeight="1" x14ac:dyDescent="0.25">
      <c r="A304" s="205" t="s">
        <v>1145</v>
      </c>
      <c r="B304" s="200" t="s">
        <v>1138</v>
      </c>
      <c r="C304" s="205" t="s">
        <v>4</v>
      </c>
      <c r="D304" s="221"/>
      <c r="E304" s="221"/>
      <c r="F304" s="140">
        <v>33816</v>
      </c>
      <c r="G304" s="140">
        <v>1409</v>
      </c>
      <c r="H304" s="140">
        <v>0</v>
      </c>
      <c r="I304" s="140">
        <v>0</v>
      </c>
      <c r="J304" s="140">
        <v>0</v>
      </c>
      <c r="K304" s="140">
        <v>0</v>
      </c>
      <c r="L304" s="140">
        <v>0</v>
      </c>
      <c r="M304" s="140">
        <v>0</v>
      </c>
      <c r="N304" s="140">
        <v>0</v>
      </c>
      <c r="O304" s="140">
        <v>0</v>
      </c>
      <c r="P304" s="140">
        <v>0</v>
      </c>
      <c r="Q304" s="140">
        <v>0</v>
      </c>
      <c r="R304" s="208">
        <v>2023</v>
      </c>
      <c r="S304" s="208">
        <v>2023</v>
      </c>
      <c r="T304" s="208" t="s">
        <v>15</v>
      </c>
      <c r="U304" s="208" t="s">
        <v>15</v>
      </c>
      <c r="V304" s="208" t="s">
        <v>1142</v>
      </c>
      <c r="W304" s="208" t="s">
        <v>15</v>
      </c>
      <c r="X304" s="208" t="s">
        <v>15</v>
      </c>
      <c r="Y304" s="208" t="s">
        <v>15</v>
      </c>
      <c r="Z304" s="140">
        <v>35225</v>
      </c>
      <c r="AA304" s="220"/>
      <c r="AB304" s="220"/>
      <c r="AC304" s="220"/>
    </row>
    <row r="305" spans="1:29" s="161" customFormat="1" ht="115.5" customHeight="1" x14ac:dyDescent="0.25">
      <c r="A305" s="205" t="s">
        <v>1146</v>
      </c>
      <c r="B305" s="200" t="s">
        <v>1139</v>
      </c>
      <c r="C305" s="205" t="s">
        <v>4</v>
      </c>
      <c r="D305" s="221"/>
      <c r="E305" s="221"/>
      <c r="F305" s="140">
        <v>0</v>
      </c>
      <c r="G305" s="140">
        <v>0</v>
      </c>
      <c r="H305" s="140">
        <v>0</v>
      </c>
      <c r="I305" s="140">
        <v>0</v>
      </c>
      <c r="J305" s="140">
        <v>256224.1</v>
      </c>
      <c r="K305" s="140">
        <v>10676</v>
      </c>
      <c r="L305" s="140">
        <v>0</v>
      </c>
      <c r="M305" s="140">
        <v>0</v>
      </c>
      <c r="N305" s="140">
        <v>0</v>
      </c>
      <c r="O305" s="140">
        <v>0</v>
      </c>
      <c r="P305" s="140">
        <v>0</v>
      </c>
      <c r="Q305" s="140">
        <v>0</v>
      </c>
      <c r="R305" s="208">
        <v>2024</v>
      </c>
      <c r="S305" s="208">
        <v>2024</v>
      </c>
      <c r="T305" s="208" t="s">
        <v>15</v>
      </c>
      <c r="U305" s="208" t="s">
        <v>15</v>
      </c>
      <c r="V305" s="208" t="s">
        <v>1142</v>
      </c>
      <c r="W305" s="208" t="s">
        <v>15</v>
      </c>
      <c r="X305" s="208" t="s">
        <v>15</v>
      </c>
      <c r="Y305" s="208" t="s">
        <v>15</v>
      </c>
      <c r="Z305" s="140">
        <v>266900.09999999998</v>
      </c>
      <c r="AA305" s="220"/>
      <c r="AB305" s="220"/>
      <c r="AC305" s="220"/>
    </row>
    <row r="306" spans="1:29" s="161" customFormat="1" ht="129.75" customHeight="1" x14ac:dyDescent="0.25">
      <c r="A306" s="205" t="s">
        <v>1147</v>
      </c>
      <c r="B306" s="200" t="s">
        <v>1140</v>
      </c>
      <c r="C306" s="205" t="s">
        <v>4</v>
      </c>
      <c r="D306" s="221"/>
      <c r="E306" s="221"/>
      <c r="F306" s="140">
        <v>0</v>
      </c>
      <c r="G306" s="140">
        <v>0</v>
      </c>
      <c r="H306" s="140">
        <v>0</v>
      </c>
      <c r="I306" s="140">
        <v>0</v>
      </c>
      <c r="J306" s="140">
        <v>192000</v>
      </c>
      <c r="K306" s="140">
        <v>5200</v>
      </c>
      <c r="L306" s="140">
        <v>2800</v>
      </c>
      <c r="M306" s="140">
        <v>0</v>
      </c>
      <c r="N306" s="140">
        <v>0</v>
      </c>
      <c r="O306" s="140">
        <v>0</v>
      </c>
      <c r="P306" s="140">
        <v>0</v>
      </c>
      <c r="Q306" s="140">
        <v>0</v>
      </c>
      <c r="R306" s="208">
        <v>2024</v>
      </c>
      <c r="S306" s="208">
        <v>2024</v>
      </c>
      <c r="T306" s="208" t="s">
        <v>15</v>
      </c>
      <c r="U306" s="208" t="s">
        <v>15</v>
      </c>
      <c r="V306" s="208" t="s">
        <v>1141</v>
      </c>
      <c r="W306" s="208" t="s">
        <v>15</v>
      </c>
      <c r="X306" s="208" t="s">
        <v>15</v>
      </c>
      <c r="Y306" s="208" t="s">
        <v>15</v>
      </c>
      <c r="Z306" s="144">
        <v>200000</v>
      </c>
      <c r="AA306" s="220"/>
      <c r="AB306" s="220"/>
      <c r="AC306" s="220"/>
    </row>
    <row r="307" spans="1:29" s="44" customFormat="1" ht="64.5" customHeight="1" x14ac:dyDescent="0.25">
      <c r="A307" s="9" t="s">
        <v>8</v>
      </c>
      <c r="B307" s="4" t="s">
        <v>269</v>
      </c>
      <c r="C307" s="16" t="s">
        <v>77</v>
      </c>
      <c r="D307" s="16" t="s">
        <v>77</v>
      </c>
      <c r="E307" s="16" t="s">
        <v>77</v>
      </c>
      <c r="F307" s="8">
        <f>F308+F309</f>
        <v>2000</v>
      </c>
      <c r="G307" s="8">
        <f t="shared" ref="G307:Q307" si="94">G308+G309</f>
        <v>500</v>
      </c>
      <c r="H307" s="8">
        <f t="shared" si="94"/>
        <v>0</v>
      </c>
      <c r="I307" s="8">
        <f t="shared" si="94"/>
        <v>0</v>
      </c>
      <c r="J307" s="8">
        <f t="shared" si="94"/>
        <v>2000</v>
      </c>
      <c r="K307" s="8">
        <f t="shared" si="94"/>
        <v>500</v>
      </c>
      <c r="L307" s="8">
        <f t="shared" si="94"/>
        <v>0</v>
      </c>
      <c r="M307" s="8">
        <f t="shared" si="94"/>
        <v>0</v>
      </c>
      <c r="N307" s="8">
        <f t="shared" si="94"/>
        <v>0</v>
      </c>
      <c r="O307" s="8">
        <f t="shared" si="94"/>
        <v>0</v>
      </c>
      <c r="P307" s="8">
        <f t="shared" si="94"/>
        <v>0</v>
      </c>
      <c r="Q307" s="8">
        <f t="shared" si="94"/>
        <v>0</v>
      </c>
      <c r="R307" s="16" t="s">
        <v>77</v>
      </c>
      <c r="S307" s="16" t="s">
        <v>77</v>
      </c>
      <c r="T307" s="16" t="s">
        <v>77</v>
      </c>
      <c r="U307" s="16" t="s">
        <v>77</v>
      </c>
      <c r="V307" s="16" t="s">
        <v>77</v>
      </c>
      <c r="W307" s="16" t="s">
        <v>77</v>
      </c>
      <c r="X307" s="16" t="s">
        <v>77</v>
      </c>
      <c r="Y307" s="16" t="s">
        <v>77</v>
      </c>
      <c r="Z307" s="16" t="s">
        <v>77</v>
      </c>
      <c r="AA307" s="16" t="s">
        <v>77</v>
      </c>
      <c r="AB307" s="16" t="s">
        <v>77</v>
      </c>
      <c r="AC307" s="16" t="s">
        <v>77</v>
      </c>
    </row>
    <row r="308" spans="1:29" s="198" customFormat="1" ht="69.75" customHeight="1" x14ac:dyDescent="0.25">
      <c r="A308" s="141" t="s">
        <v>48</v>
      </c>
      <c r="B308" s="172" t="s">
        <v>218</v>
      </c>
      <c r="C308" s="205" t="s">
        <v>4</v>
      </c>
      <c r="D308" s="208" t="s">
        <v>449</v>
      </c>
      <c r="E308" s="208" t="s">
        <v>449</v>
      </c>
      <c r="F308" s="140">
        <v>800</v>
      </c>
      <c r="G308" s="140">
        <v>200</v>
      </c>
      <c r="H308" s="140">
        <v>0</v>
      </c>
      <c r="I308" s="140">
        <v>0</v>
      </c>
      <c r="J308" s="140">
        <v>800</v>
      </c>
      <c r="K308" s="140">
        <v>200</v>
      </c>
      <c r="L308" s="214">
        <v>0</v>
      </c>
      <c r="M308" s="214">
        <v>0</v>
      </c>
      <c r="N308" s="214">
        <v>0</v>
      </c>
      <c r="O308" s="214">
        <v>0</v>
      </c>
      <c r="P308" s="214">
        <v>0</v>
      </c>
      <c r="Q308" s="214">
        <v>0</v>
      </c>
      <c r="R308" s="208" t="s">
        <v>15</v>
      </c>
      <c r="S308" s="208" t="s">
        <v>15</v>
      </c>
      <c r="T308" s="208" t="s">
        <v>15</v>
      </c>
      <c r="U308" s="208" t="s">
        <v>15</v>
      </c>
      <c r="V308" s="208" t="s">
        <v>15</v>
      </c>
      <c r="W308" s="208" t="s">
        <v>15</v>
      </c>
      <c r="X308" s="208" t="s">
        <v>15</v>
      </c>
      <c r="Y308" s="208" t="s">
        <v>15</v>
      </c>
      <c r="Z308" s="208" t="s">
        <v>15</v>
      </c>
      <c r="AA308" s="220" t="s">
        <v>457</v>
      </c>
      <c r="AB308" s="220" t="s">
        <v>464</v>
      </c>
      <c r="AC308" s="205" t="s">
        <v>458</v>
      </c>
    </row>
    <row r="309" spans="1:29" s="198" customFormat="1" ht="69.75" customHeight="1" x14ac:dyDescent="0.25">
      <c r="A309" s="141" t="s">
        <v>49</v>
      </c>
      <c r="B309" s="172" t="s">
        <v>315</v>
      </c>
      <c r="C309" s="205" t="s">
        <v>4</v>
      </c>
      <c r="D309" s="208" t="s">
        <v>449</v>
      </c>
      <c r="E309" s="208" t="s">
        <v>449</v>
      </c>
      <c r="F309" s="140">
        <v>1200</v>
      </c>
      <c r="G309" s="140">
        <v>300</v>
      </c>
      <c r="H309" s="140">
        <v>0</v>
      </c>
      <c r="I309" s="140">
        <v>0</v>
      </c>
      <c r="J309" s="140">
        <v>1200</v>
      </c>
      <c r="K309" s="140">
        <v>300</v>
      </c>
      <c r="L309" s="214">
        <v>0</v>
      </c>
      <c r="M309" s="214">
        <v>0</v>
      </c>
      <c r="N309" s="214">
        <v>0</v>
      </c>
      <c r="O309" s="214">
        <v>0</v>
      </c>
      <c r="P309" s="214">
        <v>0</v>
      </c>
      <c r="Q309" s="214">
        <v>0</v>
      </c>
      <c r="R309" s="208" t="s">
        <v>15</v>
      </c>
      <c r="S309" s="208" t="s">
        <v>15</v>
      </c>
      <c r="T309" s="208" t="s">
        <v>15</v>
      </c>
      <c r="U309" s="208" t="s">
        <v>15</v>
      </c>
      <c r="V309" s="208" t="s">
        <v>15</v>
      </c>
      <c r="W309" s="208" t="s">
        <v>15</v>
      </c>
      <c r="X309" s="208" t="s">
        <v>15</v>
      </c>
      <c r="Y309" s="208" t="s">
        <v>15</v>
      </c>
      <c r="Z309" s="208" t="s">
        <v>15</v>
      </c>
      <c r="AA309" s="220"/>
      <c r="AB309" s="220"/>
      <c r="AC309" s="205" t="s">
        <v>458</v>
      </c>
    </row>
    <row r="310" spans="1:29" s="44" customFormat="1" ht="65.45" customHeight="1" x14ac:dyDescent="0.25">
      <c r="A310" s="9" t="s">
        <v>42</v>
      </c>
      <c r="B310" s="4" t="s">
        <v>270</v>
      </c>
      <c r="C310" s="16" t="s">
        <v>77</v>
      </c>
      <c r="D310" s="16" t="s">
        <v>77</v>
      </c>
      <c r="E310" s="2" t="s">
        <v>77</v>
      </c>
      <c r="F310" s="8">
        <f>F311</f>
        <v>16900</v>
      </c>
      <c r="G310" s="8">
        <f t="shared" ref="G310:Q310" si="95">G311</f>
        <v>0</v>
      </c>
      <c r="H310" s="8">
        <f t="shared" si="95"/>
        <v>0</v>
      </c>
      <c r="I310" s="8">
        <f t="shared" si="95"/>
        <v>0</v>
      </c>
      <c r="J310" s="8">
        <f t="shared" si="95"/>
        <v>0</v>
      </c>
      <c r="K310" s="8">
        <f t="shared" si="95"/>
        <v>0</v>
      </c>
      <c r="L310" s="8">
        <f t="shared" si="95"/>
        <v>0</v>
      </c>
      <c r="M310" s="8">
        <f t="shared" si="95"/>
        <v>0</v>
      </c>
      <c r="N310" s="8">
        <f t="shared" si="95"/>
        <v>0</v>
      </c>
      <c r="O310" s="8">
        <f t="shared" si="95"/>
        <v>0</v>
      </c>
      <c r="P310" s="8">
        <f t="shared" si="95"/>
        <v>0</v>
      </c>
      <c r="Q310" s="8">
        <f t="shared" si="95"/>
        <v>0</v>
      </c>
      <c r="R310" s="16" t="s">
        <v>77</v>
      </c>
      <c r="S310" s="16" t="s">
        <v>77</v>
      </c>
      <c r="T310" s="16" t="s">
        <v>77</v>
      </c>
      <c r="U310" s="16" t="s">
        <v>77</v>
      </c>
      <c r="V310" s="16" t="s">
        <v>77</v>
      </c>
      <c r="W310" s="2" t="s">
        <v>77</v>
      </c>
      <c r="X310" s="16" t="s">
        <v>77</v>
      </c>
      <c r="Y310" s="16" t="s">
        <v>77</v>
      </c>
      <c r="Z310" s="2" t="s">
        <v>77</v>
      </c>
      <c r="AA310" s="16" t="s">
        <v>77</v>
      </c>
      <c r="AB310" s="16" t="s">
        <v>77</v>
      </c>
      <c r="AC310" s="2" t="s">
        <v>77</v>
      </c>
    </row>
    <row r="311" spans="1:29" s="104" customFormat="1" ht="94.5" x14ac:dyDescent="0.25">
      <c r="A311" s="158" t="s">
        <v>50</v>
      </c>
      <c r="B311" s="87" t="s">
        <v>219</v>
      </c>
      <c r="C311" s="203" t="s">
        <v>113</v>
      </c>
      <c r="D311" s="82" t="s">
        <v>449</v>
      </c>
      <c r="E311" s="82" t="s">
        <v>449</v>
      </c>
      <c r="F311" s="83">
        <v>16900</v>
      </c>
      <c r="G311" s="110">
        <v>0</v>
      </c>
      <c r="H311" s="110">
        <v>0</v>
      </c>
      <c r="I311" s="110">
        <v>0</v>
      </c>
      <c r="J311" s="110">
        <v>0</v>
      </c>
      <c r="K311" s="110">
        <v>0</v>
      </c>
      <c r="L311" s="110">
        <v>0</v>
      </c>
      <c r="M311" s="110">
        <v>0</v>
      </c>
      <c r="N311" s="110">
        <v>0</v>
      </c>
      <c r="O311" s="110">
        <v>0</v>
      </c>
      <c r="P311" s="110">
        <v>0</v>
      </c>
      <c r="Q311" s="110">
        <v>0</v>
      </c>
      <c r="R311" s="82" t="s">
        <v>15</v>
      </c>
      <c r="S311" s="82" t="s">
        <v>15</v>
      </c>
      <c r="T311" s="82" t="s">
        <v>15</v>
      </c>
      <c r="U311" s="82" t="s">
        <v>15</v>
      </c>
      <c r="V311" s="82" t="s">
        <v>15</v>
      </c>
      <c r="W311" s="82" t="s">
        <v>15</v>
      </c>
      <c r="X311" s="82" t="s">
        <v>15</v>
      </c>
      <c r="Y311" s="82" t="s">
        <v>15</v>
      </c>
      <c r="Z311" s="82" t="s">
        <v>15</v>
      </c>
      <c r="AA311" s="203" t="s">
        <v>459</v>
      </c>
      <c r="AB311" s="203" t="s">
        <v>460</v>
      </c>
      <c r="AC311" s="203" t="s">
        <v>455</v>
      </c>
    </row>
    <row r="312" spans="1:29" s="45" customFormat="1" ht="54.75" customHeight="1" x14ac:dyDescent="0.25">
      <c r="A312" s="2" t="s">
        <v>60</v>
      </c>
      <c r="B312" s="4" t="s">
        <v>305</v>
      </c>
      <c r="C312" s="16" t="s">
        <v>77</v>
      </c>
      <c r="D312" s="16" t="s">
        <v>77</v>
      </c>
      <c r="E312" s="2" t="s">
        <v>77</v>
      </c>
      <c r="F312" s="8">
        <f>F313+F314+F315</f>
        <v>49587.799999999996</v>
      </c>
      <c r="G312" s="8">
        <f t="shared" ref="G312:Q312" si="96">G313+G314+G315</f>
        <v>52695.5</v>
      </c>
      <c r="H312" s="8">
        <f t="shared" si="96"/>
        <v>0</v>
      </c>
      <c r="I312" s="8">
        <f t="shared" si="96"/>
        <v>0</v>
      </c>
      <c r="J312" s="8">
        <f t="shared" si="96"/>
        <v>49246.1</v>
      </c>
      <c r="K312" s="8">
        <f t="shared" si="96"/>
        <v>16415.7</v>
      </c>
      <c r="L312" s="8">
        <f t="shared" si="96"/>
        <v>0</v>
      </c>
      <c r="M312" s="8">
        <f t="shared" si="96"/>
        <v>0</v>
      </c>
      <c r="N312" s="8">
        <f t="shared" si="96"/>
        <v>0</v>
      </c>
      <c r="O312" s="8">
        <f t="shared" si="96"/>
        <v>0</v>
      </c>
      <c r="P312" s="8">
        <f t="shared" si="96"/>
        <v>0</v>
      </c>
      <c r="Q312" s="8">
        <f t="shared" si="96"/>
        <v>0</v>
      </c>
      <c r="R312" s="16" t="s">
        <v>77</v>
      </c>
      <c r="S312" s="16" t="s">
        <v>77</v>
      </c>
      <c r="T312" s="16" t="s">
        <v>77</v>
      </c>
      <c r="U312" s="16" t="s">
        <v>77</v>
      </c>
      <c r="V312" s="16" t="s">
        <v>77</v>
      </c>
      <c r="W312" s="2" t="s">
        <v>77</v>
      </c>
      <c r="X312" s="16" t="s">
        <v>77</v>
      </c>
      <c r="Y312" s="16" t="s">
        <v>77</v>
      </c>
      <c r="Z312" s="2" t="s">
        <v>77</v>
      </c>
      <c r="AA312" s="16" t="s">
        <v>77</v>
      </c>
      <c r="AB312" s="16" t="s">
        <v>77</v>
      </c>
      <c r="AC312" s="16" t="s">
        <v>77</v>
      </c>
    </row>
    <row r="313" spans="1:29" s="104" customFormat="1" ht="84" customHeight="1" x14ac:dyDescent="0.25">
      <c r="A313" s="158" t="s">
        <v>51</v>
      </c>
      <c r="B313" s="87" t="s">
        <v>220</v>
      </c>
      <c r="C313" s="203" t="s">
        <v>4</v>
      </c>
      <c r="D313" s="82" t="s">
        <v>449</v>
      </c>
      <c r="E313" s="82" t="s">
        <v>449</v>
      </c>
      <c r="F313" s="83">
        <v>10033</v>
      </c>
      <c r="G313" s="83">
        <v>3344.4</v>
      </c>
      <c r="H313" s="83">
        <v>0</v>
      </c>
      <c r="I313" s="83">
        <v>0</v>
      </c>
      <c r="J313" s="83">
        <v>11074.3</v>
      </c>
      <c r="K313" s="83">
        <v>3691.6</v>
      </c>
      <c r="L313" s="83">
        <v>0</v>
      </c>
      <c r="M313" s="83">
        <v>0</v>
      </c>
      <c r="N313" s="83">
        <v>0</v>
      </c>
      <c r="O313" s="83">
        <v>0</v>
      </c>
      <c r="P313" s="83">
        <v>0</v>
      </c>
      <c r="Q313" s="83">
        <v>0</v>
      </c>
      <c r="R313" s="82" t="s">
        <v>15</v>
      </c>
      <c r="S313" s="82" t="s">
        <v>15</v>
      </c>
      <c r="T313" s="82" t="s">
        <v>15</v>
      </c>
      <c r="U313" s="82" t="s">
        <v>15</v>
      </c>
      <c r="V313" s="82" t="s">
        <v>15</v>
      </c>
      <c r="W313" s="82" t="s">
        <v>15</v>
      </c>
      <c r="X313" s="82" t="s">
        <v>15</v>
      </c>
      <c r="Y313" s="82" t="s">
        <v>15</v>
      </c>
      <c r="Z313" s="82" t="s">
        <v>15</v>
      </c>
      <c r="AA313" s="203" t="s">
        <v>465</v>
      </c>
      <c r="AB313" s="203" t="s">
        <v>471</v>
      </c>
      <c r="AC313" s="203" t="s">
        <v>466</v>
      </c>
    </row>
    <row r="314" spans="1:29" s="104" customFormat="1" ht="105.75" customHeight="1" x14ac:dyDescent="0.25">
      <c r="A314" s="158" t="s">
        <v>61</v>
      </c>
      <c r="B314" s="86" t="s">
        <v>695</v>
      </c>
      <c r="C314" s="203" t="s">
        <v>4</v>
      </c>
      <c r="D314" s="82" t="s">
        <v>449</v>
      </c>
      <c r="E314" s="82" t="s">
        <v>449</v>
      </c>
      <c r="F314" s="83">
        <v>25485.200000000001</v>
      </c>
      <c r="G314" s="83">
        <v>44661.1</v>
      </c>
      <c r="H314" s="83">
        <v>0</v>
      </c>
      <c r="I314" s="83">
        <v>0</v>
      </c>
      <c r="J314" s="83">
        <v>25485.200000000001</v>
      </c>
      <c r="K314" s="83">
        <v>8495.1</v>
      </c>
      <c r="L314" s="83">
        <v>0</v>
      </c>
      <c r="M314" s="83">
        <v>0</v>
      </c>
      <c r="N314" s="83">
        <v>0</v>
      </c>
      <c r="O314" s="83">
        <v>0</v>
      </c>
      <c r="P314" s="83">
        <v>0</v>
      </c>
      <c r="Q314" s="83">
        <v>0</v>
      </c>
      <c r="R314" s="82" t="s">
        <v>15</v>
      </c>
      <c r="S314" s="82" t="s">
        <v>15</v>
      </c>
      <c r="T314" s="82" t="s">
        <v>15</v>
      </c>
      <c r="U314" s="82" t="s">
        <v>15</v>
      </c>
      <c r="V314" s="82" t="s">
        <v>15</v>
      </c>
      <c r="W314" s="82" t="s">
        <v>15</v>
      </c>
      <c r="X314" s="82" t="s">
        <v>15</v>
      </c>
      <c r="Y314" s="82" t="s">
        <v>15</v>
      </c>
      <c r="Z314" s="82" t="s">
        <v>15</v>
      </c>
      <c r="AA314" s="203" t="s">
        <v>467</v>
      </c>
      <c r="AB314" s="203" t="s">
        <v>553</v>
      </c>
      <c r="AC314" s="203" t="s">
        <v>468</v>
      </c>
    </row>
    <row r="315" spans="1:29" s="198" customFormat="1" ht="66" customHeight="1" x14ac:dyDescent="0.25">
      <c r="A315" s="141" t="s">
        <v>62</v>
      </c>
      <c r="B315" s="183" t="s">
        <v>221</v>
      </c>
      <c r="C315" s="205" t="s">
        <v>4</v>
      </c>
      <c r="D315" s="208" t="s">
        <v>449</v>
      </c>
      <c r="E315" s="208" t="s">
        <v>449</v>
      </c>
      <c r="F315" s="140">
        <v>14069.6</v>
      </c>
      <c r="G315" s="140">
        <v>4690</v>
      </c>
      <c r="H315" s="140">
        <v>0</v>
      </c>
      <c r="I315" s="140">
        <v>0</v>
      </c>
      <c r="J315" s="140">
        <v>12686.6</v>
      </c>
      <c r="K315" s="140">
        <v>4229</v>
      </c>
      <c r="L315" s="140">
        <v>0</v>
      </c>
      <c r="M315" s="140">
        <v>0</v>
      </c>
      <c r="N315" s="140">
        <v>0</v>
      </c>
      <c r="O315" s="140">
        <v>0</v>
      </c>
      <c r="P315" s="140">
        <v>0</v>
      </c>
      <c r="Q315" s="140">
        <v>0</v>
      </c>
      <c r="R315" s="208" t="s">
        <v>15</v>
      </c>
      <c r="S315" s="208" t="s">
        <v>15</v>
      </c>
      <c r="T315" s="208" t="s">
        <v>15</v>
      </c>
      <c r="U315" s="208" t="s">
        <v>15</v>
      </c>
      <c r="V315" s="208" t="s">
        <v>15</v>
      </c>
      <c r="W315" s="208" t="s">
        <v>15</v>
      </c>
      <c r="X315" s="208" t="s">
        <v>15</v>
      </c>
      <c r="Y315" s="208" t="s">
        <v>15</v>
      </c>
      <c r="Z315" s="208" t="s">
        <v>15</v>
      </c>
      <c r="AA315" s="205" t="s">
        <v>469</v>
      </c>
      <c r="AB315" s="205" t="s">
        <v>471</v>
      </c>
      <c r="AC315" s="205" t="s">
        <v>470</v>
      </c>
    </row>
    <row r="316" spans="1:29" s="45" customFormat="1" ht="71.25" customHeight="1" x14ac:dyDescent="0.25">
      <c r="A316" s="2" t="s">
        <v>63</v>
      </c>
      <c r="B316" s="4" t="s">
        <v>226</v>
      </c>
      <c r="C316" s="16" t="s">
        <v>77</v>
      </c>
      <c r="D316" s="16" t="s">
        <v>77</v>
      </c>
      <c r="E316" s="16" t="s">
        <v>77</v>
      </c>
      <c r="F316" s="8">
        <f>F317+F318</f>
        <v>20749.900000000001</v>
      </c>
      <c r="G316" s="8">
        <f t="shared" ref="G316:Q316" si="97">G317+G318</f>
        <v>3222.5</v>
      </c>
      <c r="H316" s="8">
        <f t="shared" si="97"/>
        <v>0</v>
      </c>
      <c r="I316" s="8">
        <f t="shared" si="97"/>
        <v>0</v>
      </c>
      <c r="J316" s="8">
        <f t="shared" si="97"/>
        <v>9667.2999999999993</v>
      </c>
      <c r="K316" s="8">
        <f t="shared" si="97"/>
        <v>3225.5</v>
      </c>
      <c r="L316" s="8">
        <f t="shared" si="97"/>
        <v>0</v>
      </c>
      <c r="M316" s="8">
        <f t="shared" si="97"/>
        <v>0</v>
      </c>
      <c r="N316" s="8">
        <f t="shared" si="97"/>
        <v>0</v>
      </c>
      <c r="O316" s="8">
        <f t="shared" si="97"/>
        <v>0</v>
      </c>
      <c r="P316" s="8">
        <f t="shared" si="97"/>
        <v>0</v>
      </c>
      <c r="Q316" s="8">
        <f t="shared" si="97"/>
        <v>0</v>
      </c>
      <c r="R316" s="16" t="s">
        <v>77</v>
      </c>
      <c r="S316" s="16" t="s">
        <v>77</v>
      </c>
      <c r="T316" s="16" t="s">
        <v>77</v>
      </c>
      <c r="U316" s="16" t="s">
        <v>77</v>
      </c>
      <c r="V316" s="16" t="s">
        <v>77</v>
      </c>
      <c r="W316" s="16" t="s">
        <v>77</v>
      </c>
      <c r="X316" s="16" t="s">
        <v>77</v>
      </c>
      <c r="Y316" s="16" t="s">
        <v>77</v>
      </c>
      <c r="Z316" s="16" t="s">
        <v>77</v>
      </c>
      <c r="AA316" s="16" t="s">
        <v>77</v>
      </c>
      <c r="AB316" s="16" t="s">
        <v>77</v>
      </c>
      <c r="AC316" s="16" t="s">
        <v>77</v>
      </c>
    </row>
    <row r="317" spans="1:29" s="108" customFormat="1" ht="164.25" customHeight="1" x14ac:dyDescent="0.25">
      <c r="A317" s="158" t="s">
        <v>52</v>
      </c>
      <c r="B317" s="86" t="s">
        <v>151</v>
      </c>
      <c r="C317" s="203" t="s">
        <v>113</v>
      </c>
      <c r="D317" s="82" t="s">
        <v>449</v>
      </c>
      <c r="E317" s="82" t="s">
        <v>377</v>
      </c>
      <c r="F317" s="83">
        <v>11082.6</v>
      </c>
      <c r="G317" s="83">
        <v>0</v>
      </c>
      <c r="H317" s="83">
        <v>0</v>
      </c>
      <c r="I317" s="83">
        <v>0</v>
      </c>
      <c r="J317" s="83">
        <v>0</v>
      </c>
      <c r="K317" s="83">
        <v>0</v>
      </c>
      <c r="L317" s="83">
        <v>0</v>
      </c>
      <c r="M317" s="83">
        <v>0</v>
      </c>
      <c r="N317" s="83">
        <v>0</v>
      </c>
      <c r="O317" s="83">
        <v>0</v>
      </c>
      <c r="P317" s="83">
        <v>0</v>
      </c>
      <c r="Q317" s="83">
        <v>0</v>
      </c>
      <c r="R317" s="82" t="s">
        <v>15</v>
      </c>
      <c r="S317" s="82" t="s">
        <v>15</v>
      </c>
      <c r="T317" s="82" t="s">
        <v>15</v>
      </c>
      <c r="U317" s="82" t="s">
        <v>15</v>
      </c>
      <c r="V317" s="82" t="s">
        <v>15</v>
      </c>
      <c r="W317" s="82" t="s">
        <v>15</v>
      </c>
      <c r="X317" s="82" t="s">
        <v>15</v>
      </c>
      <c r="Y317" s="82" t="s">
        <v>15</v>
      </c>
      <c r="Z317" s="82" t="s">
        <v>15</v>
      </c>
      <c r="AA317" s="203" t="s">
        <v>472</v>
      </c>
      <c r="AB317" s="203" t="s">
        <v>77</v>
      </c>
      <c r="AC317" s="204" t="s">
        <v>473</v>
      </c>
    </row>
    <row r="318" spans="1:29" s="198" customFormat="1" ht="101.25" customHeight="1" x14ac:dyDescent="0.25">
      <c r="A318" s="141" t="s">
        <v>291</v>
      </c>
      <c r="B318" s="183" t="s">
        <v>222</v>
      </c>
      <c r="C318" s="205" t="s">
        <v>4</v>
      </c>
      <c r="D318" s="208" t="s">
        <v>449</v>
      </c>
      <c r="E318" s="208" t="s">
        <v>1067</v>
      </c>
      <c r="F318" s="140">
        <v>9667.2999999999993</v>
      </c>
      <c r="G318" s="140">
        <v>3222.5</v>
      </c>
      <c r="H318" s="140">
        <v>0</v>
      </c>
      <c r="I318" s="140">
        <v>0</v>
      </c>
      <c r="J318" s="140">
        <v>9667.2999999999993</v>
      </c>
      <c r="K318" s="140">
        <v>3225.5</v>
      </c>
      <c r="L318" s="140">
        <v>0</v>
      </c>
      <c r="M318" s="140">
        <v>0</v>
      </c>
      <c r="N318" s="140">
        <v>0</v>
      </c>
      <c r="O318" s="140">
        <v>0</v>
      </c>
      <c r="P318" s="140">
        <v>0</v>
      </c>
      <c r="Q318" s="140">
        <v>0</v>
      </c>
      <c r="R318" s="208" t="s">
        <v>15</v>
      </c>
      <c r="S318" s="208" t="s">
        <v>15</v>
      </c>
      <c r="T318" s="208" t="s">
        <v>15</v>
      </c>
      <c r="U318" s="208" t="s">
        <v>15</v>
      </c>
      <c r="V318" s="208" t="s">
        <v>15</v>
      </c>
      <c r="W318" s="208" t="s">
        <v>15</v>
      </c>
      <c r="X318" s="208" t="s">
        <v>15</v>
      </c>
      <c r="Y318" s="208" t="s">
        <v>15</v>
      </c>
      <c r="Z318" s="208" t="s">
        <v>15</v>
      </c>
      <c r="AA318" s="205" t="s">
        <v>474</v>
      </c>
      <c r="AB318" s="205" t="s">
        <v>77</v>
      </c>
      <c r="AC318" s="205" t="s">
        <v>475</v>
      </c>
    </row>
    <row r="319" spans="1:29" s="49" customFormat="1" ht="65.25" customHeight="1" x14ac:dyDescent="0.3">
      <c r="A319" s="29" t="s">
        <v>74</v>
      </c>
      <c r="B319" s="30" t="s">
        <v>392</v>
      </c>
      <c r="C319" s="29" t="s">
        <v>15</v>
      </c>
      <c r="D319" s="29" t="s">
        <v>15</v>
      </c>
      <c r="E319" s="29" t="s">
        <v>15</v>
      </c>
      <c r="F319" s="31">
        <f>F320</f>
        <v>3103575.75</v>
      </c>
      <c r="G319" s="31">
        <f t="shared" ref="G319:Q319" si="98">G320</f>
        <v>49351.869999999915</v>
      </c>
      <c r="H319" s="31">
        <f t="shared" si="98"/>
        <v>1959.630000000172</v>
      </c>
      <c r="I319" s="31">
        <f t="shared" si="98"/>
        <v>0</v>
      </c>
      <c r="J319" s="31">
        <f t="shared" si="98"/>
        <v>1436076.0099999998</v>
      </c>
      <c r="K319" s="31">
        <f t="shared" si="98"/>
        <v>38285.33</v>
      </c>
      <c r="L319" s="31">
        <f t="shared" si="98"/>
        <v>38346.69</v>
      </c>
      <c r="M319" s="31">
        <f t="shared" si="98"/>
        <v>0</v>
      </c>
      <c r="N319" s="31">
        <f t="shared" si="98"/>
        <v>2018276.79</v>
      </c>
      <c r="O319" s="31">
        <f t="shared" si="98"/>
        <v>0</v>
      </c>
      <c r="P319" s="31">
        <f t="shared" si="98"/>
        <v>0</v>
      </c>
      <c r="Q319" s="31">
        <f t="shared" si="98"/>
        <v>0</v>
      </c>
      <c r="R319" s="29" t="s">
        <v>15</v>
      </c>
      <c r="S319" s="29" t="s">
        <v>15</v>
      </c>
      <c r="T319" s="29" t="s">
        <v>15</v>
      </c>
      <c r="U319" s="29" t="s">
        <v>15</v>
      </c>
      <c r="V319" s="29" t="s">
        <v>15</v>
      </c>
      <c r="W319" s="29" t="s">
        <v>15</v>
      </c>
      <c r="X319" s="29" t="s">
        <v>15</v>
      </c>
      <c r="Y319" s="29" t="s">
        <v>15</v>
      </c>
      <c r="Z319" s="29" t="s">
        <v>15</v>
      </c>
      <c r="AA319" s="29" t="s">
        <v>15</v>
      </c>
      <c r="AB319" s="29" t="s">
        <v>15</v>
      </c>
      <c r="AC319" s="29" t="s">
        <v>15</v>
      </c>
    </row>
    <row r="320" spans="1:29" s="42" customFormat="1" ht="36.75" customHeight="1" x14ac:dyDescent="0.25">
      <c r="A320" s="39" t="s">
        <v>2</v>
      </c>
      <c r="B320" s="55" t="s">
        <v>121</v>
      </c>
      <c r="C320" s="39" t="s">
        <v>15</v>
      </c>
      <c r="D320" s="39" t="s">
        <v>15</v>
      </c>
      <c r="E320" s="39" t="s">
        <v>15</v>
      </c>
      <c r="F320" s="11">
        <f>F321+F326+F336</f>
        <v>3103575.75</v>
      </c>
      <c r="G320" s="11">
        <f t="shared" ref="G320:Q320" si="99">G321+G326+G336</f>
        <v>49351.869999999915</v>
      </c>
      <c r="H320" s="11">
        <f t="shared" si="99"/>
        <v>1959.630000000172</v>
      </c>
      <c r="I320" s="11">
        <f t="shared" si="99"/>
        <v>0</v>
      </c>
      <c r="J320" s="11">
        <f t="shared" si="99"/>
        <v>1436076.0099999998</v>
      </c>
      <c r="K320" s="11">
        <f t="shared" si="99"/>
        <v>38285.33</v>
      </c>
      <c r="L320" s="11">
        <f t="shared" si="99"/>
        <v>38346.69</v>
      </c>
      <c r="M320" s="11">
        <f t="shared" si="99"/>
        <v>0</v>
      </c>
      <c r="N320" s="11">
        <f t="shared" si="99"/>
        <v>2018276.79</v>
      </c>
      <c r="O320" s="11">
        <f t="shared" si="99"/>
        <v>0</v>
      </c>
      <c r="P320" s="11">
        <f t="shared" si="99"/>
        <v>0</v>
      </c>
      <c r="Q320" s="11">
        <f t="shared" si="99"/>
        <v>0</v>
      </c>
      <c r="R320" s="39" t="s">
        <v>15</v>
      </c>
      <c r="S320" s="39" t="s">
        <v>15</v>
      </c>
      <c r="T320" s="39" t="s">
        <v>15</v>
      </c>
      <c r="U320" s="39" t="s">
        <v>15</v>
      </c>
      <c r="V320" s="39" t="s">
        <v>15</v>
      </c>
      <c r="W320" s="39" t="s">
        <v>15</v>
      </c>
      <c r="X320" s="39" t="s">
        <v>15</v>
      </c>
      <c r="Y320" s="39" t="s">
        <v>15</v>
      </c>
      <c r="Z320" s="39" t="s">
        <v>15</v>
      </c>
      <c r="AA320" s="39" t="s">
        <v>15</v>
      </c>
      <c r="AB320" s="39" t="s">
        <v>15</v>
      </c>
      <c r="AC320" s="39" t="s">
        <v>15</v>
      </c>
    </row>
    <row r="321" spans="1:29" s="43" customFormat="1" ht="60" customHeight="1" x14ac:dyDescent="0.25">
      <c r="A321" s="2" t="s">
        <v>1</v>
      </c>
      <c r="B321" s="4" t="s">
        <v>271</v>
      </c>
      <c r="C321" s="16" t="s">
        <v>15</v>
      </c>
      <c r="D321" s="16" t="s">
        <v>15</v>
      </c>
      <c r="E321" s="16" t="s">
        <v>15</v>
      </c>
      <c r="F321" s="8">
        <f>F322</f>
        <v>1175794.3399999999</v>
      </c>
      <c r="G321" s="8">
        <f t="shared" ref="G321:Q321" si="100">G322</f>
        <v>47031.869999999915</v>
      </c>
      <c r="H321" s="8">
        <f t="shared" si="100"/>
        <v>1959.630000000172</v>
      </c>
      <c r="I321" s="8">
        <f t="shared" si="100"/>
        <v>0</v>
      </c>
      <c r="J321" s="8">
        <f t="shared" si="100"/>
        <v>36812.81</v>
      </c>
      <c r="K321" s="8">
        <f t="shared" si="100"/>
        <v>38285.33</v>
      </c>
      <c r="L321" s="8">
        <f t="shared" si="100"/>
        <v>38346.69</v>
      </c>
      <c r="M321" s="8">
        <f t="shared" si="100"/>
        <v>0</v>
      </c>
      <c r="N321" s="8">
        <f t="shared" si="100"/>
        <v>0</v>
      </c>
      <c r="O321" s="8">
        <f t="shared" si="100"/>
        <v>0</v>
      </c>
      <c r="P321" s="8">
        <f t="shared" si="100"/>
        <v>0</v>
      </c>
      <c r="Q321" s="8">
        <f t="shared" si="100"/>
        <v>0</v>
      </c>
      <c r="R321" s="16" t="s">
        <v>15</v>
      </c>
      <c r="S321" s="16" t="s">
        <v>15</v>
      </c>
      <c r="T321" s="16" t="s">
        <v>15</v>
      </c>
      <c r="U321" s="16" t="s">
        <v>15</v>
      </c>
      <c r="V321" s="16" t="s">
        <v>15</v>
      </c>
      <c r="W321" s="16" t="s">
        <v>15</v>
      </c>
      <c r="X321" s="16" t="s">
        <v>15</v>
      </c>
      <c r="Y321" s="16" t="s">
        <v>15</v>
      </c>
      <c r="Z321" s="16" t="s">
        <v>15</v>
      </c>
      <c r="AA321" s="16" t="s">
        <v>15</v>
      </c>
      <c r="AB321" s="16" t="s">
        <v>15</v>
      </c>
      <c r="AC321" s="16" t="s">
        <v>15</v>
      </c>
    </row>
    <row r="322" spans="1:29" s="130" customFormat="1" ht="124.5" customHeight="1" x14ac:dyDescent="0.25">
      <c r="A322" s="105" t="s">
        <v>25</v>
      </c>
      <c r="B322" s="87" t="s">
        <v>123</v>
      </c>
      <c r="C322" s="219" t="s">
        <v>4</v>
      </c>
      <c r="D322" s="219" t="s">
        <v>520</v>
      </c>
      <c r="E322" s="219" t="s">
        <v>520</v>
      </c>
      <c r="F322" s="106">
        <f>F323+F324+F325</f>
        <v>1175794.3399999999</v>
      </c>
      <c r="G322" s="106">
        <f t="shared" ref="G322:Q322" si="101">G323+G324+G325</f>
        <v>47031.869999999915</v>
      </c>
      <c r="H322" s="106">
        <f t="shared" si="101"/>
        <v>1959.630000000172</v>
      </c>
      <c r="I322" s="106">
        <f t="shared" si="101"/>
        <v>0</v>
      </c>
      <c r="J322" s="106">
        <f t="shared" si="101"/>
        <v>36812.81</v>
      </c>
      <c r="K322" s="106">
        <f t="shared" si="101"/>
        <v>38285.33</v>
      </c>
      <c r="L322" s="106">
        <f t="shared" si="101"/>
        <v>38346.69</v>
      </c>
      <c r="M322" s="106">
        <f t="shared" si="101"/>
        <v>0</v>
      </c>
      <c r="N322" s="106">
        <f t="shared" si="101"/>
        <v>0</v>
      </c>
      <c r="O322" s="106">
        <f t="shared" si="101"/>
        <v>0</v>
      </c>
      <c r="P322" s="106">
        <f t="shared" si="101"/>
        <v>0</v>
      </c>
      <c r="Q322" s="106">
        <f t="shared" si="101"/>
        <v>0</v>
      </c>
      <c r="R322" s="82" t="s">
        <v>15</v>
      </c>
      <c r="S322" s="82" t="s">
        <v>15</v>
      </c>
      <c r="T322" s="82" t="s">
        <v>15</v>
      </c>
      <c r="U322" s="82" t="s">
        <v>15</v>
      </c>
      <c r="V322" s="82" t="s">
        <v>15</v>
      </c>
      <c r="W322" s="82" t="s">
        <v>15</v>
      </c>
      <c r="X322" s="82" t="s">
        <v>15</v>
      </c>
      <c r="Y322" s="82" t="s">
        <v>15</v>
      </c>
      <c r="Z322" s="82" t="s">
        <v>15</v>
      </c>
      <c r="AA322" s="218" t="s">
        <v>122</v>
      </c>
      <c r="AB322" s="241" t="s">
        <v>577</v>
      </c>
      <c r="AC322" s="219" t="s">
        <v>578</v>
      </c>
    </row>
    <row r="323" spans="1:29" s="130" customFormat="1" ht="78.75" x14ac:dyDescent="0.25">
      <c r="A323" s="158" t="s">
        <v>293</v>
      </c>
      <c r="B323" s="101" t="s">
        <v>579</v>
      </c>
      <c r="C323" s="219"/>
      <c r="D323" s="219"/>
      <c r="E323" s="219"/>
      <c r="F323" s="206">
        <v>1103664.99</v>
      </c>
      <c r="G323" s="206">
        <f>1147811.65-F323</f>
        <v>44146.659999999916</v>
      </c>
      <c r="H323" s="206">
        <f>1149651.08-SUM(F323:G323)</f>
        <v>1839.4300000001676</v>
      </c>
      <c r="I323" s="206">
        <v>0</v>
      </c>
      <c r="J323" s="206">
        <v>36812.81</v>
      </c>
      <c r="K323" s="206">
        <v>38285.33</v>
      </c>
      <c r="L323" s="206">
        <v>38346.69</v>
      </c>
      <c r="M323" s="206">
        <v>0</v>
      </c>
      <c r="N323" s="206">
        <v>0</v>
      </c>
      <c r="O323" s="206">
        <v>0</v>
      </c>
      <c r="P323" s="206">
        <v>0</v>
      </c>
      <c r="Q323" s="206">
        <v>0</v>
      </c>
      <c r="R323" s="107">
        <v>2022</v>
      </c>
      <c r="S323" s="107">
        <v>2024</v>
      </c>
      <c r="T323" s="82" t="s">
        <v>15</v>
      </c>
      <c r="U323" s="82" t="s">
        <v>77</v>
      </c>
      <c r="V323" s="82" t="s">
        <v>77</v>
      </c>
      <c r="W323" s="82" t="s">
        <v>580</v>
      </c>
      <c r="X323" s="82" t="s">
        <v>581</v>
      </c>
      <c r="Y323" s="82">
        <v>2024</v>
      </c>
      <c r="Z323" s="206" t="s">
        <v>582</v>
      </c>
      <c r="AA323" s="218"/>
      <c r="AB323" s="241"/>
      <c r="AC323" s="219"/>
    </row>
    <row r="324" spans="1:29" s="130" customFormat="1" ht="234.75" customHeight="1" x14ac:dyDescent="0.25">
      <c r="A324" s="158" t="s">
        <v>297</v>
      </c>
      <c r="B324" s="101" t="s">
        <v>583</v>
      </c>
      <c r="C324" s="219"/>
      <c r="D324" s="219"/>
      <c r="E324" s="219"/>
      <c r="F324" s="206">
        <v>24161.93</v>
      </c>
      <c r="G324" s="206">
        <f>25128.42-F324</f>
        <v>966.48999999999796</v>
      </c>
      <c r="H324" s="206">
        <f>25168.68-SUM(F324:G324)</f>
        <v>40.260000000002037</v>
      </c>
      <c r="I324" s="206">
        <v>0</v>
      </c>
      <c r="J324" s="206">
        <v>0</v>
      </c>
      <c r="K324" s="206">
        <v>0</v>
      </c>
      <c r="L324" s="206">
        <v>0</v>
      </c>
      <c r="M324" s="206">
        <v>0</v>
      </c>
      <c r="N324" s="206">
        <v>0</v>
      </c>
      <c r="O324" s="206">
        <v>0</v>
      </c>
      <c r="P324" s="206">
        <v>0</v>
      </c>
      <c r="Q324" s="206">
        <v>0</v>
      </c>
      <c r="R324" s="107">
        <v>2021</v>
      </c>
      <c r="S324" s="107">
        <v>2023</v>
      </c>
      <c r="T324" s="82" t="s">
        <v>15</v>
      </c>
      <c r="U324" s="82" t="s">
        <v>77</v>
      </c>
      <c r="V324" s="82" t="s">
        <v>77</v>
      </c>
      <c r="W324" s="82" t="s">
        <v>584</v>
      </c>
      <c r="X324" s="82" t="s">
        <v>585</v>
      </c>
      <c r="Y324" s="82">
        <v>2023</v>
      </c>
      <c r="Z324" s="206" t="s">
        <v>586</v>
      </c>
      <c r="AA324" s="218"/>
      <c r="AB324" s="241"/>
      <c r="AC324" s="219"/>
    </row>
    <row r="325" spans="1:29" s="130" customFormat="1" ht="222" customHeight="1" x14ac:dyDescent="0.25">
      <c r="A325" s="158" t="s">
        <v>298</v>
      </c>
      <c r="B325" s="101" t="s">
        <v>694</v>
      </c>
      <c r="C325" s="219"/>
      <c r="D325" s="219"/>
      <c r="E325" s="219"/>
      <c r="F325" s="206">
        <v>47967.42</v>
      </c>
      <c r="G325" s="206">
        <f>49886.14-F325</f>
        <v>1918.7200000000012</v>
      </c>
      <c r="H325" s="206">
        <f>49966.08-SUM(F325:G325)</f>
        <v>79.940000000002328</v>
      </c>
      <c r="I325" s="206">
        <v>0</v>
      </c>
      <c r="J325" s="206">
        <v>0</v>
      </c>
      <c r="K325" s="206">
        <v>0</v>
      </c>
      <c r="L325" s="206">
        <v>0</v>
      </c>
      <c r="M325" s="206">
        <v>0</v>
      </c>
      <c r="N325" s="206">
        <v>0</v>
      </c>
      <c r="O325" s="206">
        <v>0</v>
      </c>
      <c r="P325" s="206">
        <v>0</v>
      </c>
      <c r="Q325" s="206">
        <v>0</v>
      </c>
      <c r="R325" s="107">
        <v>2020</v>
      </c>
      <c r="S325" s="107">
        <v>2023</v>
      </c>
      <c r="T325" s="82" t="s">
        <v>15</v>
      </c>
      <c r="U325" s="82" t="s">
        <v>77</v>
      </c>
      <c r="V325" s="82" t="s">
        <v>77</v>
      </c>
      <c r="W325" s="82" t="s">
        <v>587</v>
      </c>
      <c r="X325" s="82" t="s">
        <v>588</v>
      </c>
      <c r="Y325" s="82">
        <v>2023</v>
      </c>
      <c r="Z325" s="206" t="s">
        <v>589</v>
      </c>
      <c r="AA325" s="218"/>
      <c r="AB325" s="241"/>
      <c r="AC325" s="219"/>
    </row>
    <row r="326" spans="1:29" s="19" customFormat="1" ht="68.25" customHeight="1" x14ac:dyDescent="0.25">
      <c r="A326" s="2" t="s">
        <v>8</v>
      </c>
      <c r="B326" s="4" t="s">
        <v>272</v>
      </c>
      <c r="C326" s="34" t="s">
        <v>15</v>
      </c>
      <c r="D326" s="34" t="s">
        <v>15</v>
      </c>
      <c r="E326" s="34" t="s">
        <v>15</v>
      </c>
      <c r="F326" s="8">
        <f>F327+F328</f>
        <v>910661.41</v>
      </c>
      <c r="G326" s="8">
        <f t="shared" ref="G326:Q326" si="102">G327+G328</f>
        <v>2320</v>
      </c>
      <c r="H326" s="8">
        <f t="shared" si="102"/>
        <v>0</v>
      </c>
      <c r="I326" s="8">
        <f t="shared" si="102"/>
        <v>0</v>
      </c>
      <c r="J326" s="8">
        <f t="shared" si="102"/>
        <v>902808.79999999993</v>
      </c>
      <c r="K326" s="8">
        <f t="shared" si="102"/>
        <v>0</v>
      </c>
      <c r="L326" s="8">
        <f t="shared" si="102"/>
        <v>0</v>
      </c>
      <c r="M326" s="8">
        <f t="shared" si="102"/>
        <v>0</v>
      </c>
      <c r="N326" s="8">
        <f t="shared" si="102"/>
        <v>2018276.79</v>
      </c>
      <c r="O326" s="8">
        <f t="shared" si="102"/>
        <v>0</v>
      </c>
      <c r="P326" s="8">
        <f t="shared" si="102"/>
        <v>0</v>
      </c>
      <c r="Q326" s="8">
        <f t="shared" si="102"/>
        <v>0</v>
      </c>
      <c r="R326" s="34" t="s">
        <v>15</v>
      </c>
      <c r="S326" s="34" t="s">
        <v>15</v>
      </c>
      <c r="T326" s="34" t="s">
        <v>15</v>
      </c>
      <c r="U326" s="34" t="s">
        <v>15</v>
      </c>
      <c r="V326" s="34" t="s">
        <v>15</v>
      </c>
      <c r="W326" s="34" t="s">
        <v>15</v>
      </c>
      <c r="X326" s="34" t="s">
        <v>15</v>
      </c>
      <c r="Y326" s="34" t="s">
        <v>15</v>
      </c>
      <c r="Z326" s="34" t="s">
        <v>15</v>
      </c>
      <c r="AA326" s="34" t="s">
        <v>15</v>
      </c>
      <c r="AB326" s="34" t="s">
        <v>15</v>
      </c>
      <c r="AC326" s="34" t="s">
        <v>15</v>
      </c>
    </row>
    <row r="327" spans="1:29" s="3" customFormat="1" ht="200.25" customHeight="1" x14ac:dyDescent="0.25">
      <c r="A327" s="141" t="s">
        <v>48</v>
      </c>
      <c r="B327" s="172" t="s">
        <v>698</v>
      </c>
      <c r="C327" s="205" t="s">
        <v>4</v>
      </c>
      <c r="D327" s="205" t="s">
        <v>396</v>
      </c>
      <c r="E327" s="205" t="s">
        <v>396</v>
      </c>
      <c r="F327" s="144">
        <v>58000</v>
      </c>
      <c r="G327" s="144">
        <f>F327*4/100</f>
        <v>2320</v>
      </c>
      <c r="H327" s="144">
        <v>0</v>
      </c>
      <c r="I327" s="144">
        <v>0</v>
      </c>
      <c r="J327" s="144">
        <v>0</v>
      </c>
      <c r="K327" s="144">
        <v>0</v>
      </c>
      <c r="L327" s="144">
        <v>0</v>
      </c>
      <c r="M327" s="144">
        <v>0</v>
      </c>
      <c r="N327" s="144">
        <v>0</v>
      </c>
      <c r="O327" s="144">
        <v>0</v>
      </c>
      <c r="P327" s="144">
        <v>0</v>
      </c>
      <c r="Q327" s="144">
        <v>0</v>
      </c>
      <c r="R327" s="208" t="s">
        <v>15</v>
      </c>
      <c r="S327" s="208" t="s">
        <v>15</v>
      </c>
      <c r="T327" s="208" t="s">
        <v>15</v>
      </c>
      <c r="U327" s="208" t="s">
        <v>15</v>
      </c>
      <c r="V327" s="208" t="s">
        <v>15</v>
      </c>
      <c r="W327" s="208" t="s">
        <v>15</v>
      </c>
      <c r="X327" s="208" t="s">
        <v>15</v>
      </c>
      <c r="Y327" s="208" t="s">
        <v>15</v>
      </c>
      <c r="Z327" s="208" t="s">
        <v>15</v>
      </c>
      <c r="AA327" s="208" t="s">
        <v>1081</v>
      </c>
      <c r="AB327" s="208" t="s">
        <v>699</v>
      </c>
      <c r="AC327" s="205" t="s">
        <v>455</v>
      </c>
    </row>
    <row r="328" spans="1:29" s="38" customFormat="1" ht="186.75" customHeight="1" x14ac:dyDescent="0.25">
      <c r="A328" s="158" t="s">
        <v>49</v>
      </c>
      <c r="B328" s="87" t="s">
        <v>717</v>
      </c>
      <c r="C328" s="219" t="s">
        <v>113</v>
      </c>
      <c r="D328" s="219" t="s">
        <v>396</v>
      </c>
      <c r="E328" s="219" t="s">
        <v>396</v>
      </c>
      <c r="F328" s="206">
        <f>F329+F330+F331+F332+F333+F334+F335</f>
        <v>852661.41</v>
      </c>
      <c r="G328" s="206">
        <f t="shared" ref="G328:Q328" si="103">G329+G330+G331+G332+G333+G334+G335</f>
        <v>0</v>
      </c>
      <c r="H328" s="206">
        <f t="shared" si="103"/>
        <v>0</v>
      </c>
      <c r="I328" s="206">
        <f t="shared" si="103"/>
        <v>0</v>
      </c>
      <c r="J328" s="206">
        <f t="shared" si="103"/>
        <v>902808.79999999993</v>
      </c>
      <c r="K328" s="206">
        <f t="shared" si="103"/>
        <v>0</v>
      </c>
      <c r="L328" s="206">
        <f t="shared" si="103"/>
        <v>0</v>
      </c>
      <c r="M328" s="206">
        <f t="shared" si="103"/>
        <v>0</v>
      </c>
      <c r="N328" s="206">
        <f t="shared" si="103"/>
        <v>2018276.79</v>
      </c>
      <c r="O328" s="206">
        <f t="shared" si="103"/>
        <v>0</v>
      </c>
      <c r="P328" s="206">
        <f t="shared" si="103"/>
        <v>0</v>
      </c>
      <c r="Q328" s="206">
        <f t="shared" si="103"/>
        <v>0</v>
      </c>
      <c r="R328" s="82" t="s">
        <v>15</v>
      </c>
      <c r="S328" s="82" t="s">
        <v>15</v>
      </c>
      <c r="T328" s="82" t="s">
        <v>15</v>
      </c>
      <c r="U328" s="82" t="s">
        <v>15</v>
      </c>
      <c r="V328" s="82" t="s">
        <v>15</v>
      </c>
      <c r="W328" s="82" t="s">
        <v>15</v>
      </c>
      <c r="X328" s="82" t="s">
        <v>15</v>
      </c>
      <c r="Y328" s="82" t="s">
        <v>15</v>
      </c>
      <c r="Z328" s="82" t="s">
        <v>15</v>
      </c>
      <c r="AA328" s="82" t="s">
        <v>15</v>
      </c>
      <c r="AB328" s="82" t="s">
        <v>15</v>
      </c>
      <c r="AC328" s="82" t="s">
        <v>15</v>
      </c>
    </row>
    <row r="329" spans="1:29" s="38" customFormat="1" ht="74.25" customHeight="1" x14ac:dyDescent="0.25">
      <c r="A329" s="158" t="s">
        <v>655</v>
      </c>
      <c r="B329" s="97" t="s">
        <v>718</v>
      </c>
      <c r="C329" s="219"/>
      <c r="D329" s="219"/>
      <c r="E329" s="219"/>
      <c r="F329" s="206">
        <v>277870.14</v>
      </c>
      <c r="G329" s="206">
        <v>0</v>
      </c>
      <c r="H329" s="206">
        <v>0</v>
      </c>
      <c r="I329" s="206">
        <v>0</v>
      </c>
      <c r="J329" s="206">
        <v>289262.82</v>
      </c>
      <c r="K329" s="206">
        <v>0</v>
      </c>
      <c r="L329" s="206">
        <v>0</v>
      </c>
      <c r="M329" s="206">
        <v>0</v>
      </c>
      <c r="N329" s="206">
        <v>301122.59000000003</v>
      </c>
      <c r="O329" s="206">
        <v>0</v>
      </c>
      <c r="P329" s="206">
        <v>0</v>
      </c>
      <c r="Q329" s="206">
        <v>0</v>
      </c>
      <c r="R329" s="208">
        <v>2023</v>
      </c>
      <c r="S329" s="208">
        <v>2025</v>
      </c>
      <c r="T329" s="82" t="s">
        <v>15</v>
      </c>
      <c r="U329" s="208" t="s">
        <v>819</v>
      </c>
      <c r="V329" s="208" t="s">
        <v>819</v>
      </c>
      <c r="W329" s="208" t="s">
        <v>819</v>
      </c>
      <c r="X329" s="208" t="s">
        <v>819</v>
      </c>
      <c r="Y329" s="208">
        <v>2025</v>
      </c>
      <c r="Z329" s="140">
        <v>868255.55</v>
      </c>
      <c r="AA329" s="208" t="s">
        <v>760</v>
      </c>
      <c r="AB329" s="221" t="s">
        <v>15</v>
      </c>
      <c r="AC329" s="220" t="s">
        <v>765</v>
      </c>
    </row>
    <row r="330" spans="1:29" s="38" customFormat="1" ht="45" customHeight="1" x14ac:dyDescent="0.25">
      <c r="A330" s="158" t="s">
        <v>656</v>
      </c>
      <c r="B330" s="97" t="s">
        <v>719</v>
      </c>
      <c r="C330" s="219"/>
      <c r="D330" s="219"/>
      <c r="E330" s="219"/>
      <c r="F330" s="206">
        <v>517481.27</v>
      </c>
      <c r="G330" s="206">
        <v>0</v>
      </c>
      <c r="H330" s="206">
        <v>0</v>
      </c>
      <c r="I330" s="206">
        <v>0</v>
      </c>
      <c r="J330" s="206">
        <v>538700.17000000004</v>
      </c>
      <c r="K330" s="206">
        <v>0</v>
      </c>
      <c r="L330" s="206">
        <v>0</v>
      </c>
      <c r="M330" s="206">
        <v>0</v>
      </c>
      <c r="N330" s="206">
        <v>0</v>
      </c>
      <c r="O330" s="206">
        <v>0</v>
      </c>
      <c r="P330" s="206">
        <v>0</v>
      </c>
      <c r="Q330" s="206">
        <v>0</v>
      </c>
      <c r="R330" s="208">
        <v>2023</v>
      </c>
      <c r="S330" s="208">
        <v>2024</v>
      </c>
      <c r="T330" s="82" t="s">
        <v>15</v>
      </c>
      <c r="U330" s="208" t="s">
        <v>761</v>
      </c>
      <c r="V330" s="208" t="s">
        <v>819</v>
      </c>
      <c r="W330" s="208" t="s">
        <v>819</v>
      </c>
      <c r="X330" s="208" t="s">
        <v>819</v>
      </c>
      <c r="Y330" s="208">
        <v>2024</v>
      </c>
      <c r="Z330" s="140">
        <v>1056181.44</v>
      </c>
      <c r="AA330" s="208" t="s">
        <v>760</v>
      </c>
      <c r="AB330" s="221"/>
      <c r="AC330" s="220"/>
    </row>
    <row r="331" spans="1:29" s="38" customFormat="1" ht="63.75" customHeight="1" x14ac:dyDescent="0.25">
      <c r="A331" s="158" t="s">
        <v>657</v>
      </c>
      <c r="B331" s="97" t="s">
        <v>720</v>
      </c>
      <c r="C331" s="219"/>
      <c r="D331" s="219"/>
      <c r="E331" s="219"/>
      <c r="F331" s="206">
        <v>5210</v>
      </c>
      <c r="G331" s="206">
        <v>0</v>
      </c>
      <c r="H331" s="206">
        <v>0</v>
      </c>
      <c r="I331" s="206">
        <v>0</v>
      </c>
      <c r="J331" s="206">
        <v>13016.66</v>
      </c>
      <c r="K331" s="206">
        <v>0</v>
      </c>
      <c r="L331" s="206">
        <v>0</v>
      </c>
      <c r="M331" s="206">
        <v>0</v>
      </c>
      <c r="N331" s="206">
        <v>119455.34</v>
      </c>
      <c r="O331" s="206">
        <v>0</v>
      </c>
      <c r="P331" s="206">
        <v>0</v>
      </c>
      <c r="Q331" s="206">
        <v>0</v>
      </c>
      <c r="R331" s="208">
        <v>2023</v>
      </c>
      <c r="S331" s="208">
        <v>2024</v>
      </c>
      <c r="T331" s="82" t="s">
        <v>15</v>
      </c>
      <c r="U331" s="208" t="s">
        <v>762</v>
      </c>
      <c r="V331" s="208" t="s">
        <v>763</v>
      </c>
      <c r="W331" s="208" t="s">
        <v>764</v>
      </c>
      <c r="X331" s="208" t="s">
        <v>820</v>
      </c>
      <c r="Y331" s="208">
        <v>2024</v>
      </c>
      <c r="Z331" s="140">
        <v>137682</v>
      </c>
      <c r="AA331" s="208" t="s">
        <v>760</v>
      </c>
      <c r="AB331" s="221"/>
      <c r="AC331" s="220"/>
    </row>
    <row r="332" spans="1:29" s="38" customFormat="1" ht="74.25" customHeight="1" x14ac:dyDescent="0.25">
      <c r="A332" s="158" t="s">
        <v>658</v>
      </c>
      <c r="B332" s="97" t="s">
        <v>721</v>
      </c>
      <c r="C332" s="219"/>
      <c r="D332" s="219"/>
      <c r="E332" s="219"/>
      <c r="F332" s="206">
        <v>5210</v>
      </c>
      <c r="G332" s="206">
        <v>0</v>
      </c>
      <c r="H332" s="206">
        <v>0</v>
      </c>
      <c r="I332" s="206">
        <v>0</v>
      </c>
      <c r="J332" s="206">
        <v>13016.66</v>
      </c>
      <c r="K332" s="206">
        <v>0</v>
      </c>
      <c r="L332" s="206">
        <v>0</v>
      </c>
      <c r="M332" s="206">
        <v>0</v>
      </c>
      <c r="N332" s="206">
        <v>112919.56</v>
      </c>
      <c r="O332" s="206">
        <v>0</v>
      </c>
      <c r="P332" s="206">
        <v>0</v>
      </c>
      <c r="Q332" s="206">
        <v>0</v>
      </c>
      <c r="R332" s="208">
        <v>2025</v>
      </c>
      <c r="S332" s="208">
        <v>2026</v>
      </c>
      <c r="T332" s="82" t="s">
        <v>15</v>
      </c>
      <c r="U332" s="208" t="s">
        <v>819</v>
      </c>
      <c r="V332" s="208" t="s">
        <v>819</v>
      </c>
      <c r="W332" s="208" t="s">
        <v>819</v>
      </c>
      <c r="X332" s="208" t="s">
        <v>819</v>
      </c>
      <c r="Y332" s="208">
        <v>2026</v>
      </c>
      <c r="Z332" s="140">
        <v>131146.22</v>
      </c>
      <c r="AA332" s="208" t="s">
        <v>760</v>
      </c>
      <c r="AB332" s="221"/>
      <c r="AC332" s="220"/>
    </row>
    <row r="333" spans="1:29" s="38" customFormat="1" ht="62.25" customHeight="1" x14ac:dyDescent="0.25">
      <c r="A333" s="158" t="s">
        <v>659</v>
      </c>
      <c r="B333" s="97" t="s">
        <v>722</v>
      </c>
      <c r="C333" s="219"/>
      <c r="D333" s="219"/>
      <c r="E333" s="219"/>
      <c r="F333" s="206">
        <v>15630</v>
      </c>
      <c r="G333" s="206">
        <v>0</v>
      </c>
      <c r="H333" s="206">
        <v>0</v>
      </c>
      <c r="I333" s="206">
        <v>0</v>
      </c>
      <c r="J333" s="206">
        <v>16270.83</v>
      </c>
      <c r="K333" s="206">
        <v>0</v>
      </c>
      <c r="L333" s="206">
        <v>0</v>
      </c>
      <c r="M333" s="206">
        <v>0</v>
      </c>
      <c r="N333" s="206">
        <v>790436.92</v>
      </c>
      <c r="O333" s="206">
        <v>0</v>
      </c>
      <c r="P333" s="206">
        <v>0</v>
      </c>
      <c r="Q333" s="206">
        <v>0</v>
      </c>
      <c r="R333" s="208">
        <v>2025</v>
      </c>
      <c r="S333" s="208">
        <v>2026</v>
      </c>
      <c r="T333" s="82" t="s">
        <v>15</v>
      </c>
      <c r="U333" s="208" t="s">
        <v>819</v>
      </c>
      <c r="V333" s="208" t="s">
        <v>819</v>
      </c>
      <c r="W333" s="208" t="s">
        <v>819</v>
      </c>
      <c r="X333" s="208" t="s">
        <v>819</v>
      </c>
      <c r="Y333" s="208">
        <v>2026</v>
      </c>
      <c r="Z333" s="140">
        <v>822337.75</v>
      </c>
      <c r="AA333" s="208" t="s">
        <v>760</v>
      </c>
      <c r="AB333" s="221"/>
      <c r="AC333" s="220"/>
    </row>
    <row r="334" spans="1:29" s="38" customFormat="1" ht="54.75" customHeight="1" x14ac:dyDescent="0.25">
      <c r="A334" s="158" t="s">
        <v>660</v>
      </c>
      <c r="B334" s="97" t="s">
        <v>723</v>
      </c>
      <c r="C334" s="219"/>
      <c r="D334" s="219"/>
      <c r="E334" s="219"/>
      <c r="F334" s="206">
        <v>15630</v>
      </c>
      <c r="G334" s="206">
        <v>0</v>
      </c>
      <c r="H334" s="206">
        <v>0</v>
      </c>
      <c r="I334" s="206">
        <v>0</v>
      </c>
      <c r="J334" s="206">
        <v>16270.83</v>
      </c>
      <c r="K334" s="206">
        <v>0</v>
      </c>
      <c r="L334" s="206">
        <v>0</v>
      </c>
      <c r="M334" s="206">
        <v>0</v>
      </c>
      <c r="N334" s="206">
        <v>124211.52</v>
      </c>
      <c r="O334" s="206">
        <v>0</v>
      </c>
      <c r="P334" s="206">
        <v>0</v>
      </c>
      <c r="Q334" s="206">
        <v>0</v>
      </c>
      <c r="R334" s="208">
        <v>2025</v>
      </c>
      <c r="S334" s="208">
        <v>2026</v>
      </c>
      <c r="T334" s="82" t="s">
        <v>15</v>
      </c>
      <c r="U334" s="208" t="s">
        <v>819</v>
      </c>
      <c r="V334" s="208" t="s">
        <v>819</v>
      </c>
      <c r="W334" s="208" t="s">
        <v>819</v>
      </c>
      <c r="X334" s="208" t="s">
        <v>819</v>
      </c>
      <c r="Y334" s="208">
        <v>2026</v>
      </c>
      <c r="Z334" s="140">
        <v>156112.35</v>
      </c>
      <c r="AA334" s="208" t="s">
        <v>760</v>
      </c>
      <c r="AB334" s="221"/>
      <c r="AC334" s="220"/>
    </row>
    <row r="335" spans="1:29" s="38" customFormat="1" ht="58.5" customHeight="1" x14ac:dyDescent="0.25">
      <c r="A335" s="158" t="s">
        <v>661</v>
      </c>
      <c r="B335" s="97" t="s">
        <v>724</v>
      </c>
      <c r="C335" s="219"/>
      <c r="D335" s="219"/>
      <c r="E335" s="219"/>
      <c r="F335" s="206">
        <v>15630</v>
      </c>
      <c r="G335" s="206">
        <v>0</v>
      </c>
      <c r="H335" s="206">
        <v>0</v>
      </c>
      <c r="I335" s="206">
        <v>0</v>
      </c>
      <c r="J335" s="206">
        <v>16270.83</v>
      </c>
      <c r="K335" s="206">
        <v>0</v>
      </c>
      <c r="L335" s="206">
        <v>0</v>
      </c>
      <c r="M335" s="206">
        <v>0</v>
      </c>
      <c r="N335" s="206">
        <v>570130.86</v>
      </c>
      <c r="O335" s="206">
        <v>0</v>
      </c>
      <c r="P335" s="206">
        <v>0</v>
      </c>
      <c r="Q335" s="206">
        <v>0</v>
      </c>
      <c r="R335" s="208">
        <v>2025</v>
      </c>
      <c r="S335" s="208">
        <v>2026</v>
      </c>
      <c r="T335" s="82" t="s">
        <v>15</v>
      </c>
      <c r="U335" s="208" t="s">
        <v>819</v>
      </c>
      <c r="V335" s="208" t="s">
        <v>819</v>
      </c>
      <c r="W335" s="208" t="s">
        <v>819</v>
      </c>
      <c r="X335" s="208" t="s">
        <v>819</v>
      </c>
      <c r="Y335" s="208">
        <v>2026</v>
      </c>
      <c r="Z335" s="140">
        <v>602031.68999999994</v>
      </c>
      <c r="AA335" s="208" t="s">
        <v>760</v>
      </c>
      <c r="AB335" s="221"/>
      <c r="AC335" s="220"/>
    </row>
    <row r="336" spans="1:29" s="19" customFormat="1" ht="68.25" customHeight="1" x14ac:dyDescent="0.25">
      <c r="A336" s="2" t="s">
        <v>42</v>
      </c>
      <c r="B336" s="4" t="s">
        <v>273</v>
      </c>
      <c r="C336" s="34" t="s">
        <v>15</v>
      </c>
      <c r="D336" s="34" t="s">
        <v>15</v>
      </c>
      <c r="E336" s="34" t="s">
        <v>15</v>
      </c>
      <c r="F336" s="8">
        <f>F337</f>
        <v>1017120</v>
      </c>
      <c r="G336" s="8">
        <f t="shared" ref="G336:Q336" si="104">G337</f>
        <v>0</v>
      </c>
      <c r="H336" s="8">
        <f t="shared" si="104"/>
        <v>0</v>
      </c>
      <c r="I336" s="8">
        <f t="shared" si="104"/>
        <v>0</v>
      </c>
      <c r="J336" s="8">
        <f t="shared" si="104"/>
        <v>496454.40000000002</v>
      </c>
      <c r="K336" s="8">
        <f t="shared" si="104"/>
        <v>0</v>
      </c>
      <c r="L336" s="8">
        <f t="shared" si="104"/>
        <v>0</v>
      </c>
      <c r="M336" s="8">
        <f t="shared" si="104"/>
        <v>0</v>
      </c>
      <c r="N336" s="8">
        <f t="shared" si="104"/>
        <v>0</v>
      </c>
      <c r="O336" s="8">
        <f t="shared" si="104"/>
        <v>0</v>
      </c>
      <c r="P336" s="8">
        <f t="shared" si="104"/>
        <v>0</v>
      </c>
      <c r="Q336" s="8">
        <f t="shared" si="104"/>
        <v>0</v>
      </c>
      <c r="R336" s="34" t="s">
        <v>15</v>
      </c>
      <c r="S336" s="34" t="s">
        <v>15</v>
      </c>
      <c r="T336" s="34" t="s">
        <v>15</v>
      </c>
      <c r="U336" s="34" t="s">
        <v>15</v>
      </c>
      <c r="V336" s="34" t="s">
        <v>15</v>
      </c>
      <c r="W336" s="34" t="s">
        <v>15</v>
      </c>
      <c r="X336" s="34" t="s">
        <v>15</v>
      </c>
      <c r="Y336" s="34" t="s">
        <v>15</v>
      </c>
      <c r="Z336" s="34" t="s">
        <v>15</v>
      </c>
      <c r="AA336" s="34" t="s">
        <v>15</v>
      </c>
      <c r="AB336" s="34" t="s">
        <v>15</v>
      </c>
      <c r="AC336" s="34" t="s">
        <v>15</v>
      </c>
    </row>
    <row r="337" spans="1:29" s="38" customFormat="1" ht="167.25" customHeight="1" x14ac:dyDescent="0.25">
      <c r="A337" s="158" t="s">
        <v>50</v>
      </c>
      <c r="B337" s="87" t="s">
        <v>189</v>
      </c>
      <c r="C337" s="219" t="s">
        <v>113</v>
      </c>
      <c r="D337" s="219" t="s">
        <v>396</v>
      </c>
      <c r="E337" s="219" t="s">
        <v>396</v>
      </c>
      <c r="F337" s="206">
        <f>F338+F339</f>
        <v>1017120</v>
      </c>
      <c r="G337" s="206">
        <f t="shared" ref="G337:Q337" si="105">G338+G339</f>
        <v>0</v>
      </c>
      <c r="H337" s="206">
        <f t="shared" si="105"/>
        <v>0</v>
      </c>
      <c r="I337" s="206">
        <f t="shared" si="105"/>
        <v>0</v>
      </c>
      <c r="J337" s="206">
        <f t="shared" si="105"/>
        <v>496454.40000000002</v>
      </c>
      <c r="K337" s="206">
        <f t="shared" si="105"/>
        <v>0</v>
      </c>
      <c r="L337" s="206">
        <f t="shared" si="105"/>
        <v>0</v>
      </c>
      <c r="M337" s="206">
        <f t="shared" si="105"/>
        <v>0</v>
      </c>
      <c r="N337" s="206">
        <f t="shared" si="105"/>
        <v>0</v>
      </c>
      <c r="O337" s="206">
        <f t="shared" si="105"/>
        <v>0</v>
      </c>
      <c r="P337" s="206">
        <f t="shared" si="105"/>
        <v>0</v>
      </c>
      <c r="Q337" s="206">
        <f t="shared" si="105"/>
        <v>0</v>
      </c>
      <c r="R337" s="82" t="s">
        <v>15</v>
      </c>
      <c r="S337" s="82" t="s">
        <v>15</v>
      </c>
      <c r="T337" s="82" t="s">
        <v>15</v>
      </c>
      <c r="U337" s="82" t="s">
        <v>15</v>
      </c>
      <c r="V337" s="82" t="s">
        <v>15</v>
      </c>
      <c r="W337" s="82" t="s">
        <v>15</v>
      </c>
      <c r="X337" s="82" t="s">
        <v>15</v>
      </c>
      <c r="Y337" s="82" t="s">
        <v>15</v>
      </c>
      <c r="Z337" s="82" t="s">
        <v>15</v>
      </c>
      <c r="AA337" s="219" t="s">
        <v>397</v>
      </c>
      <c r="AB337" s="252" t="s">
        <v>554</v>
      </c>
      <c r="AC337" s="219" t="s">
        <v>693</v>
      </c>
    </row>
    <row r="338" spans="1:29" s="38" customFormat="1" ht="26.25" customHeight="1" x14ac:dyDescent="0.25">
      <c r="A338" s="158" t="s">
        <v>57</v>
      </c>
      <c r="B338" s="97" t="s">
        <v>1082</v>
      </c>
      <c r="C338" s="219"/>
      <c r="D338" s="219"/>
      <c r="E338" s="219"/>
      <c r="F338" s="206">
        <v>455520</v>
      </c>
      <c r="G338" s="206">
        <v>0</v>
      </c>
      <c r="H338" s="206">
        <v>0</v>
      </c>
      <c r="I338" s="206">
        <v>0</v>
      </c>
      <c r="J338" s="206">
        <v>236870.39999999999</v>
      </c>
      <c r="K338" s="206">
        <v>0</v>
      </c>
      <c r="L338" s="206">
        <v>0</v>
      </c>
      <c r="M338" s="206">
        <v>0</v>
      </c>
      <c r="N338" s="206">
        <v>0</v>
      </c>
      <c r="O338" s="206">
        <v>0</v>
      </c>
      <c r="P338" s="206">
        <v>0</v>
      </c>
      <c r="Q338" s="206">
        <v>0</v>
      </c>
      <c r="R338" s="82" t="s">
        <v>15</v>
      </c>
      <c r="S338" s="82" t="s">
        <v>15</v>
      </c>
      <c r="T338" s="82" t="s">
        <v>15</v>
      </c>
      <c r="U338" s="82" t="s">
        <v>15</v>
      </c>
      <c r="V338" s="82" t="s">
        <v>15</v>
      </c>
      <c r="W338" s="82" t="s">
        <v>15</v>
      </c>
      <c r="X338" s="82" t="s">
        <v>15</v>
      </c>
      <c r="Y338" s="82" t="s">
        <v>15</v>
      </c>
      <c r="Z338" s="82" t="s">
        <v>15</v>
      </c>
      <c r="AA338" s="219"/>
      <c r="AB338" s="252"/>
      <c r="AC338" s="219"/>
    </row>
    <row r="339" spans="1:29" s="38" customFormat="1" ht="34.5" customHeight="1" x14ac:dyDescent="0.25">
      <c r="A339" s="158" t="s">
        <v>58</v>
      </c>
      <c r="B339" s="97" t="s">
        <v>1164</v>
      </c>
      <c r="C339" s="219"/>
      <c r="D339" s="219"/>
      <c r="E339" s="219"/>
      <c r="F339" s="206">
        <v>561600</v>
      </c>
      <c r="G339" s="206">
        <v>0</v>
      </c>
      <c r="H339" s="206">
        <v>0</v>
      </c>
      <c r="I339" s="206">
        <v>0</v>
      </c>
      <c r="J339" s="206">
        <v>259584</v>
      </c>
      <c r="K339" s="206">
        <v>0</v>
      </c>
      <c r="L339" s="206">
        <v>0</v>
      </c>
      <c r="M339" s="206">
        <v>0</v>
      </c>
      <c r="N339" s="206">
        <v>0</v>
      </c>
      <c r="O339" s="206">
        <v>0</v>
      </c>
      <c r="P339" s="206">
        <v>0</v>
      </c>
      <c r="Q339" s="206">
        <v>0</v>
      </c>
      <c r="R339" s="82" t="s">
        <v>15</v>
      </c>
      <c r="S339" s="82" t="s">
        <v>15</v>
      </c>
      <c r="T339" s="82" t="s">
        <v>15</v>
      </c>
      <c r="U339" s="82" t="s">
        <v>15</v>
      </c>
      <c r="V339" s="82" t="s">
        <v>15</v>
      </c>
      <c r="W339" s="82" t="s">
        <v>15</v>
      </c>
      <c r="X339" s="82" t="s">
        <v>15</v>
      </c>
      <c r="Y339" s="82" t="s">
        <v>15</v>
      </c>
      <c r="Z339" s="82" t="s">
        <v>15</v>
      </c>
      <c r="AA339" s="219"/>
      <c r="AB339" s="252"/>
      <c r="AC339" s="219"/>
    </row>
    <row r="340" spans="1:29" s="48" customFormat="1" ht="72" customHeight="1" x14ac:dyDescent="0.3">
      <c r="A340" s="24" t="s">
        <v>120</v>
      </c>
      <c r="B340" s="33" t="s">
        <v>147</v>
      </c>
      <c r="C340" s="29" t="s">
        <v>15</v>
      </c>
      <c r="D340" s="29" t="s">
        <v>15</v>
      </c>
      <c r="E340" s="29" t="s">
        <v>15</v>
      </c>
      <c r="F340" s="26">
        <f>F341+F347</f>
        <v>274475.3</v>
      </c>
      <c r="G340" s="26">
        <f t="shared" ref="G340:Q340" si="106">G341+G347</f>
        <v>48958.796000000002</v>
      </c>
      <c r="H340" s="26">
        <f t="shared" si="106"/>
        <v>31</v>
      </c>
      <c r="I340" s="26">
        <f t="shared" si="106"/>
        <v>0</v>
      </c>
      <c r="J340" s="26">
        <f t="shared" si="106"/>
        <v>18650.8</v>
      </c>
      <c r="K340" s="26">
        <f t="shared" si="106"/>
        <v>12083.599999999999</v>
      </c>
      <c r="L340" s="26">
        <f t="shared" si="106"/>
        <v>0</v>
      </c>
      <c r="M340" s="26">
        <f t="shared" si="106"/>
        <v>0</v>
      </c>
      <c r="N340" s="26">
        <f t="shared" si="106"/>
        <v>0</v>
      </c>
      <c r="O340" s="26">
        <f t="shared" si="106"/>
        <v>0</v>
      </c>
      <c r="P340" s="26">
        <f t="shared" si="106"/>
        <v>0</v>
      </c>
      <c r="Q340" s="26">
        <f t="shared" si="106"/>
        <v>0</v>
      </c>
      <c r="R340" s="29" t="s">
        <v>15</v>
      </c>
      <c r="S340" s="29" t="s">
        <v>15</v>
      </c>
      <c r="T340" s="29" t="s">
        <v>15</v>
      </c>
      <c r="U340" s="29" t="s">
        <v>15</v>
      </c>
      <c r="V340" s="29" t="s">
        <v>15</v>
      </c>
      <c r="W340" s="29" t="s">
        <v>15</v>
      </c>
      <c r="X340" s="29" t="s">
        <v>15</v>
      </c>
      <c r="Y340" s="29" t="s">
        <v>15</v>
      </c>
      <c r="Z340" s="29" t="s">
        <v>15</v>
      </c>
      <c r="AA340" s="29" t="s">
        <v>15</v>
      </c>
      <c r="AB340" s="29" t="s">
        <v>15</v>
      </c>
      <c r="AC340" s="29" t="s">
        <v>15</v>
      </c>
    </row>
    <row r="341" spans="1:29" s="18" customFormat="1" ht="32.25" customHeight="1" x14ac:dyDescent="0.25">
      <c r="A341" s="39" t="s">
        <v>2</v>
      </c>
      <c r="B341" s="55" t="s">
        <v>91</v>
      </c>
      <c r="C341" s="39" t="s">
        <v>15</v>
      </c>
      <c r="D341" s="39" t="s">
        <v>15</v>
      </c>
      <c r="E341" s="39" t="s">
        <v>15</v>
      </c>
      <c r="F341" s="11">
        <f>F342</f>
        <v>158010.4</v>
      </c>
      <c r="G341" s="11">
        <f t="shared" ref="G341:Q341" si="107">G342</f>
        <v>17999.696</v>
      </c>
      <c r="H341" s="11">
        <f t="shared" si="107"/>
        <v>0</v>
      </c>
      <c r="I341" s="11">
        <f t="shared" si="107"/>
        <v>0</v>
      </c>
      <c r="J341" s="11">
        <f t="shared" si="107"/>
        <v>18650.8</v>
      </c>
      <c r="K341" s="11">
        <f t="shared" si="107"/>
        <v>12083.599999999999</v>
      </c>
      <c r="L341" s="11">
        <f t="shared" si="107"/>
        <v>0</v>
      </c>
      <c r="M341" s="11">
        <f t="shared" si="107"/>
        <v>0</v>
      </c>
      <c r="N341" s="11">
        <f t="shared" si="107"/>
        <v>0</v>
      </c>
      <c r="O341" s="11">
        <f t="shared" si="107"/>
        <v>0</v>
      </c>
      <c r="P341" s="11">
        <f t="shared" si="107"/>
        <v>0</v>
      </c>
      <c r="Q341" s="11">
        <f t="shared" si="107"/>
        <v>0</v>
      </c>
      <c r="R341" s="39" t="s">
        <v>15</v>
      </c>
      <c r="S341" s="39" t="s">
        <v>15</v>
      </c>
      <c r="T341" s="39" t="s">
        <v>15</v>
      </c>
      <c r="U341" s="39" t="s">
        <v>15</v>
      </c>
      <c r="V341" s="39" t="s">
        <v>15</v>
      </c>
      <c r="W341" s="39" t="s">
        <v>15</v>
      </c>
      <c r="X341" s="39" t="s">
        <v>15</v>
      </c>
      <c r="Y341" s="39" t="s">
        <v>15</v>
      </c>
      <c r="Z341" s="39" t="s">
        <v>15</v>
      </c>
      <c r="AA341" s="39" t="s">
        <v>15</v>
      </c>
      <c r="AB341" s="39" t="s">
        <v>15</v>
      </c>
      <c r="AC341" s="39" t="s">
        <v>15</v>
      </c>
    </row>
    <row r="342" spans="1:29" s="43" customFormat="1" ht="66.75" customHeight="1" x14ac:dyDescent="0.25">
      <c r="A342" s="2" t="s">
        <v>1</v>
      </c>
      <c r="B342" s="10" t="s">
        <v>274</v>
      </c>
      <c r="C342" s="16" t="s">
        <v>15</v>
      </c>
      <c r="D342" s="16" t="s">
        <v>15</v>
      </c>
      <c r="E342" s="16" t="s">
        <v>15</v>
      </c>
      <c r="F342" s="8">
        <f>F343+F344+F345+F346</f>
        <v>158010.4</v>
      </c>
      <c r="G342" s="8">
        <f t="shared" ref="G342:Q342" si="108">G343+G344+G345+G346</f>
        <v>17999.696</v>
      </c>
      <c r="H342" s="8">
        <f t="shared" si="108"/>
        <v>0</v>
      </c>
      <c r="I342" s="8">
        <f t="shared" si="108"/>
        <v>0</v>
      </c>
      <c r="J342" s="8">
        <f t="shared" si="108"/>
        <v>18650.8</v>
      </c>
      <c r="K342" s="8">
        <f t="shared" si="108"/>
        <v>12083.599999999999</v>
      </c>
      <c r="L342" s="8">
        <f t="shared" si="108"/>
        <v>0</v>
      </c>
      <c r="M342" s="8">
        <f t="shared" si="108"/>
        <v>0</v>
      </c>
      <c r="N342" s="8">
        <f t="shared" si="108"/>
        <v>0</v>
      </c>
      <c r="O342" s="8">
        <f t="shared" si="108"/>
        <v>0</v>
      </c>
      <c r="P342" s="8">
        <f t="shared" si="108"/>
        <v>0</v>
      </c>
      <c r="Q342" s="8">
        <f t="shared" si="108"/>
        <v>0</v>
      </c>
      <c r="R342" s="16" t="s">
        <v>15</v>
      </c>
      <c r="S342" s="16" t="s">
        <v>15</v>
      </c>
      <c r="T342" s="16" t="s">
        <v>15</v>
      </c>
      <c r="U342" s="16" t="s">
        <v>15</v>
      </c>
      <c r="V342" s="16" t="s">
        <v>15</v>
      </c>
      <c r="W342" s="16" t="s">
        <v>15</v>
      </c>
      <c r="X342" s="16" t="s">
        <v>15</v>
      </c>
      <c r="Y342" s="16" t="s">
        <v>15</v>
      </c>
      <c r="Z342" s="16" t="s">
        <v>15</v>
      </c>
      <c r="AA342" s="16" t="s">
        <v>15</v>
      </c>
      <c r="AB342" s="16" t="s">
        <v>15</v>
      </c>
      <c r="AC342" s="16" t="s">
        <v>15</v>
      </c>
    </row>
    <row r="343" spans="1:29" s="38" customFormat="1" ht="120" customHeight="1" x14ac:dyDescent="0.25">
      <c r="A343" s="158" t="s">
        <v>25</v>
      </c>
      <c r="B343" s="87" t="s">
        <v>148</v>
      </c>
      <c r="C343" s="203" t="s">
        <v>4</v>
      </c>
      <c r="D343" s="203" t="s">
        <v>408</v>
      </c>
      <c r="E343" s="203" t="s">
        <v>408</v>
      </c>
      <c r="F343" s="83">
        <v>7557.5</v>
      </c>
      <c r="G343" s="83">
        <v>2976.8</v>
      </c>
      <c r="H343" s="206">
        <v>0</v>
      </c>
      <c r="I343" s="206">
        <v>0</v>
      </c>
      <c r="J343" s="83">
        <v>8815.2999999999993</v>
      </c>
      <c r="K343" s="83">
        <v>2976.8</v>
      </c>
      <c r="L343" s="206">
        <v>0</v>
      </c>
      <c r="M343" s="206">
        <v>0</v>
      </c>
      <c r="N343" s="206">
        <v>0</v>
      </c>
      <c r="O343" s="206">
        <v>0</v>
      </c>
      <c r="P343" s="206">
        <v>0</v>
      </c>
      <c r="Q343" s="206">
        <v>0</v>
      </c>
      <c r="R343" s="82" t="s">
        <v>15</v>
      </c>
      <c r="S343" s="82" t="s">
        <v>15</v>
      </c>
      <c r="T343" s="82" t="s">
        <v>15</v>
      </c>
      <c r="U343" s="82" t="s">
        <v>15</v>
      </c>
      <c r="V343" s="82" t="s">
        <v>15</v>
      </c>
      <c r="W343" s="82" t="s">
        <v>15</v>
      </c>
      <c r="X343" s="82" t="s">
        <v>15</v>
      </c>
      <c r="Y343" s="82" t="s">
        <v>15</v>
      </c>
      <c r="Z343" s="82" t="s">
        <v>15</v>
      </c>
      <c r="AA343" s="82" t="s">
        <v>411</v>
      </c>
      <c r="AB343" s="203" t="s">
        <v>409</v>
      </c>
      <c r="AC343" s="203" t="s">
        <v>412</v>
      </c>
    </row>
    <row r="344" spans="1:29" s="38" customFormat="1" ht="100.5" customHeight="1" x14ac:dyDescent="0.25">
      <c r="A344" s="158" t="s">
        <v>78</v>
      </c>
      <c r="B344" s="87" t="s">
        <v>150</v>
      </c>
      <c r="C344" s="203" t="s">
        <v>4</v>
      </c>
      <c r="D344" s="203" t="s">
        <v>408</v>
      </c>
      <c r="E344" s="82" t="s">
        <v>377</v>
      </c>
      <c r="F344" s="206">
        <v>130101.5</v>
      </c>
      <c r="G344" s="83">
        <v>5420.7960000000003</v>
      </c>
      <c r="H344" s="206">
        <v>0</v>
      </c>
      <c r="I344" s="206">
        <v>0</v>
      </c>
      <c r="J344" s="206">
        <v>0</v>
      </c>
      <c r="K344" s="206">
        <v>0</v>
      </c>
      <c r="L344" s="206">
        <v>0</v>
      </c>
      <c r="M344" s="206">
        <v>0</v>
      </c>
      <c r="N344" s="206">
        <v>0</v>
      </c>
      <c r="O344" s="206">
        <v>0</v>
      </c>
      <c r="P344" s="206">
        <v>0</v>
      </c>
      <c r="Q344" s="206">
        <v>0</v>
      </c>
      <c r="R344" s="82" t="s">
        <v>15</v>
      </c>
      <c r="S344" s="82" t="s">
        <v>15</v>
      </c>
      <c r="T344" s="82" t="s">
        <v>15</v>
      </c>
      <c r="U344" s="82" t="s">
        <v>15</v>
      </c>
      <c r="V344" s="82" t="s">
        <v>413</v>
      </c>
      <c r="W344" s="82" t="s">
        <v>15</v>
      </c>
      <c r="X344" s="82" t="s">
        <v>15</v>
      </c>
      <c r="Y344" s="82" t="s">
        <v>15</v>
      </c>
      <c r="Z344" s="82" t="s">
        <v>15</v>
      </c>
      <c r="AA344" s="82" t="s">
        <v>411</v>
      </c>
      <c r="AB344" s="203" t="s">
        <v>149</v>
      </c>
      <c r="AC344" s="82" t="s">
        <v>414</v>
      </c>
    </row>
    <row r="345" spans="1:29" s="38" customFormat="1" ht="100.5" customHeight="1" x14ac:dyDescent="0.25">
      <c r="A345" s="158" t="s">
        <v>86</v>
      </c>
      <c r="B345" s="87" t="s">
        <v>415</v>
      </c>
      <c r="C345" s="203" t="s">
        <v>4</v>
      </c>
      <c r="D345" s="82" t="s">
        <v>408</v>
      </c>
      <c r="E345" s="82" t="s">
        <v>408</v>
      </c>
      <c r="F345" s="83">
        <v>8464.4</v>
      </c>
      <c r="G345" s="83">
        <v>9106.7999999999993</v>
      </c>
      <c r="H345" s="206">
        <v>0</v>
      </c>
      <c r="I345" s="206">
        <v>0</v>
      </c>
      <c r="J345" s="83">
        <v>9835.5</v>
      </c>
      <c r="K345" s="83">
        <v>9106.7999999999993</v>
      </c>
      <c r="L345" s="206">
        <v>0</v>
      </c>
      <c r="M345" s="206">
        <v>0</v>
      </c>
      <c r="N345" s="206">
        <v>0</v>
      </c>
      <c r="O345" s="206">
        <v>0</v>
      </c>
      <c r="P345" s="206">
        <v>0</v>
      </c>
      <c r="Q345" s="206">
        <v>0</v>
      </c>
      <c r="R345" s="82" t="s">
        <v>15</v>
      </c>
      <c r="S345" s="82" t="s">
        <v>15</v>
      </c>
      <c r="T345" s="82" t="s">
        <v>15</v>
      </c>
      <c r="U345" s="82" t="s">
        <v>15</v>
      </c>
      <c r="V345" s="82" t="s">
        <v>15</v>
      </c>
      <c r="W345" s="82" t="s">
        <v>15</v>
      </c>
      <c r="X345" s="82" t="s">
        <v>15</v>
      </c>
      <c r="Y345" s="82" t="s">
        <v>15</v>
      </c>
      <c r="Z345" s="82" t="s">
        <v>15</v>
      </c>
      <c r="AA345" s="82" t="s">
        <v>410</v>
      </c>
      <c r="AB345" s="82" t="s">
        <v>149</v>
      </c>
      <c r="AC345" s="82" t="s">
        <v>416</v>
      </c>
    </row>
    <row r="346" spans="1:29" s="38" customFormat="1" ht="94.5" x14ac:dyDescent="0.25">
      <c r="A346" s="158" t="s">
        <v>283</v>
      </c>
      <c r="B346" s="87" t="s">
        <v>418</v>
      </c>
      <c r="C346" s="203" t="s">
        <v>4</v>
      </c>
      <c r="D346" s="203" t="s">
        <v>408</v>
      </c>
      <c r="E346" s="203" t="s">
        <v>408</v>
      </c>
      <c r="F346" s="206">
        <v>11887</v>
      </c>
      <c r="G346" s="206">
        <v>495.3</v>
      </c>
      <c r="H346" s="206">
        <v>0</v>
      </c>
      <c r="I346" s="206">
        <v>0</v>
      </c>
      <c r="J346" s="206">
        <v>0</v>
      </c>
      <c r="K346" s="206">
        <v>0</v>
      </c>
      <c r="L346" s="206">
        <v>0</v>
      </c>
      <c r="M346" s="206">
        <v>0</v>
      </c>
      <c r="N346" s="206">
        <v>0</v>
      </c>
      <c r="O346" s="206">
        <v>0</v>
      </c>
      <c r="P346" s="206">
        <v>0</v>
      </c>
      <c r="Q346" s="206">
        <v>0</v>
      </c>
      <c r="R346" s="82" t="s">
        <v>15</v>
      </c>
      <c r="S346" s="82" t="s">
        <v>15</v>
      </c>
      <c r="T346" s="82" t="s">
        <v>15</v>
      </c>
      <c r="U346" s="82" t="s">
        <v>15</v>
      </c>
      <c r="V346" s="82" t="s">
        <v>15</v>
      </c>
      <c r="W346" s="82" t="s">
        <v>15</v>
      </c>
      <c r="X346" s="82" t="s">
        <v>15</v>
      </c>
      <c r="Y346" s="82" t="s">
        <v>15</v>
      </c>
      <c r="Z346" s="82" t="s">
        <v>15</v>
      </c>
      <c r="AA346" s="82" t="s">
        <v>410</v>
      </c>
      <c r="AB346" s="203" t="s">
        <v>417</v>
      </c>
      <c r="AC346" s="82" t="s">
        <v>419</v>
      </c>
    </row>
    <row r="347" spans="1:29" s="43" customFormat="1" ht="66.75" customHeight="1" x14ac:dyDescent="0.25">
      <c r="A347" s="2" t="s">
        <v>8</v>
      </c>
      <c r="B347" s="10" t="s">
        <v>1053</v>
      </c>
      <c r="C347" s="16" t="s">
        <v>15</v>
      </c>
      <c r="D347" s="16" t="s">
        <v>15</v>
      </c>
      <c r="E347" s="16" t="s">
        <v>15</v>
      </c>
      <c r="F347" s="8">
        <f>F348</f>
        <v>116464.9</v>
      </c>
      <c r="G347" s="8">
        <f t="shared" ref="G347:Q347" si="109">G348</f>
        <v>30959.1</v>
      </c>
      <c r="H347" s="8">
        <f t="shared" si="109"/>
        <v>31</v>
      </c>
      <c r="I347" s="8">
        <f t="shared" si="109"/>
        <v>0</v>
      </c>
      <c r="J347" s="8">
        <f t="shared" si="109"/>
        <v>0</v>
      </c>
      <c r="K347" s="8">
        <f t="shared" si="109"/>
        <v>0</v>
      </c>
      <c r="L347" s="8">
        <f t="shared" si="109"/>
        <v>0</v>
      </c>
      <c r="M347" s="8">
        <f t="shared" si="109"/>
        <v>0</v>
      </c>
      <c r="N347" s="8">
        <f t="shared" si="109"/>
        <v>0</v>
      </c>
      <c r="O347" s="8">
        <f t="shared" si="109"/>
        <v>0</v>
      </c>
      <c r="P347" s="8">
        <f t="shared" si="109"/>
        <v>0</v>
      </c>
      <c r="Q347" s="8">
        <f t="shared" si="109"/>
        <v>0</v>
      </c>
      <c r="R347" s="16" t="s">
        <v>15</v>
      </c>
      <c r="S347" s="16" t="s">
        <v>15</v>
      </c>
      <c r="T347" s="16" t="s">
        <v>15</v>
      </c>
      <c r="U347" s="16" t="s">
        <v>15</v>
      </c>
      <c r="V347" s="16" t="s">
        <v>15</v>
      </c>
      <c r="W347" s="16" t="s">
        <v>15</v>
      </c>
      <c r="X347" s="16" t="s">
        <v>15</v>
      </c>
      <c r="Y347" s="16" t="s">
        <v>15</v>
      </c>
      <c r="Z347" s="16" t="s">
        <v>15</v>
      </c>
      <c r="AA347" s="16" t="s">
        <v>15</v>
      </c>
      <c r="AB347" s="16" t="s">
        <v>15</v>
      </c>
      <c r="AC347" s="16" t="s">
        <v>15</v>
      </c>
    </row>
    <row r="348" spans="1:29" s="3" customFormat="1" ht="166.5" customHeight="1" x14ac:dyDescent="0.25">
      <c r="A348" s="141" t="s">
        <v>48</v>
      </c>
      <c r="B348" s="172" t="s">
        <v>151</v>
      </c>
      <c r="C348" s="220" t="s">
        <v>113</v>
      </c>
      <c r="D348" s="220" t="s">
        <v>408</v>
      </c>
      <c r="E348" s="220" t="s">
        <v>377</v>
      </c>
      <c r="F348" s="144">
        <f>F349</f>
        <v>116464.9</v>
      </c>
      <c r="G348" s="144">
        <f t="shared" ref="G348:Q348" si="110">G349</f>
        <v>30959.1</v>
      </c>
      <c r="H348" s="144">
        <f t="shared" si="110"/>
        <v>31</v>
      </c>
      <c r="I348" s="144">
        <f t="shared" si="110"/>
        <v>0</v>
      </c>
      <c r="J348" s="144">
        <f t="shared" si="110"/>
        <v>0</v>
      </c>
      <c r="K348" s="144">
        <f t="shared" si="110"/>
        <v>0</v>
      </c>
      <c r="L348" s="144">
        <f t="shared" si="110"/>
        <v>0</v>
      </c>
      <c r="M348" s="144">
        <f t="shared" si="110"/>
        <v>0</v>
      </c>
      <c r="N348" s="144">
        <f t="shared" si="110"/>
        <v>0</v>
      </c>
      <c r="O348" s="144">
        <f t="shared" si="110"/>
        <v>0</v>
      </c>
      <c r="P348" s="144">
        <f t="shared" si="110"/>
        <v>0</v>
      </c>
      <c r="Q348" s="144">
        <f t="shared" si="110"/>
        <v>0</v>
      </c>
      <c r="R348" s="208" t="s">
        <v>15</v>
      </c>
      <c r="S348" s="208" t="s">
        <v>15</v>
      </c>
      <c r="T348" s="208" t="s">
        <v>15</v>
      </c>
      <c r="U348" s="208" t="s">
        <v>15</v>
      </c>
      <c r="V348" s="208" t="s">
        <v>15</v>
      </c>
      <c r="W348" s="208" t="s">
        <v>15</v>
      </c>
      <c r="X348" s="208" t="s">
        <v>15</v>
      </c>
      <c r="Y348" s="208" t="s">
        <v>15</v>
      </c>
      <c r="Z348" s="208" t="s">
        <v>15</v>
      </c>
      <c r="AA348" s="208" t="s">
        <v>15</v>
      </c>
      <c r="AB348" s="208" t="s">
        <v>15</v>
      </c>
      <c r="AC348" s="208" t="s">
        <v>15</v>
      </c>
    </row>
    <row r="349" spans="1:29" s="149" customFormat="1" ht="105" customHeight="1" x14ac:dyDescent="0.25">
      <c r="A349" s="141" t="s">
        <v>289</v>
      </c>
      <c r="B349" s="200" t="s">
        <v>420</v>
      </c>
      <c r="C349" s="220"/>
      <c r="D349" s="220"/>
      <c r="E349" s="220"/>
      <c r="F349" s="140">
        <v>116464.9</v>
      </c>
      <c r="G349" s="140">
        <v>30959.1</v>
      </c>
      <c r="H349" s="140">
        <v>31</v>
      </c>
      <c r="I349" s="144">
        <v>0</v>
      </c>
      <c r="J349" s="144">
        <v>0</v>
      </c>
      <c r="K349" s="144">
        <v>0</v>
      </c>
      <c r="L349" s="144">
        <v>0</v>
      </c>
      <c r="M349" s="144">
        <v>0</v>
      </c>
      <c r="N349" s="144">
        <v>0</v>
      </c>
      <c r="O349" s="144">
        <v>0</v>
      </c>
      <c r="P349" s="144">
        <v>0</v>
      </c>
      <c r="Q349" s="144">
        <v>0</v>
      </c>
      <c r="R349" s="208">
        <v>2023</v>
      </c>
      <c r="S349" s="208">
        <v>2023</v>
      </c>
      <c r="T349" s="208" t="s">
        <v>15</v>
      </c>
      <c r="U349" s="208" t="s">
        <v>105</v>
      </c>
      <c r="V349" s="208" t="s">
        <v>421</v>
      </c>
      <c r="W349" s="208" t="s">
        <v>11</v>
      </c>
      <c r="X349" s="208" t="s">
        <v>422</v>
      </c>
      <c r="Y349" s="208" t="s">
        <v>423</v>
      </c>
      <c r="Z349" s="208">
        <v>454459.47</v>
      </c>
      <c r="AA349" s="208" t="s">
        <v>410</v>
      </c>
      <c r="AB349" s="205" t="s">
        <v>149</v>
      </c>
      <c r="AC349" s="208" t="s">
        <v>424</v>
      </c>
    </row>
    <row r="350" spans="1:29" s="48" customFormat="1" ht="87.75" customHeight="1" x14ac:dyDescent="0.3">
      <c r="A350" s="24" t="s">
        <v>244</v>
      </c>
      <c r="B350" s="33" t="s">
        <v>139</v>
      </c>
      <c r="C350" s="29" t="s">
        <v>15</v>
      </c>
      <c r="D350" s="29" t="s">
        <v>15</v>
      </c>
      <c r="E350" s="29" t="s">
        <v>15</v>
      </c>
      <c r="F350" s="26">
        <f>F351+F366+F371</f>
        <v>211536.4</v>
      </c>
      <c r="G350" s="26">
        <f t="shared" ref="G350:Q350" si="111">G351+G366+G371</f>
        <v>8563.5</v>
      </c>
      <c r="H350" s="26">
        <f t="shared" si="111"/>
        <v>0</v>
      </c>
      <c r="I350" s="26">
        <f t="shared" si="111"/>
        <v>1456.6</v>
      </c>
      <c r="J350" s="26">
        <f t="shared" si="111"/>
        <v>197152</v>
      </c>
      <c r="K350" s="26">
        <f t="shared" si="111"/>
        <v>7965.1</v>
      </c>
      <c r="L350" s="26">
        <f t="shared" si="111"/>
        <v>0</v>
      </c>
      <c r="M350" s="26">
        <f t="shared" si="111"/>
        <v>1456.6</v>
      </c>
      <c r="N350" s="26">
        <f t="shared" si="111"/>
        <v>0</v>
      </c>
      <c r="O350" s="26">
        <f t="shared" si="111"/>
        <v>0</v>
      </c>
      <c r="P350" s="26">
        <f t="shared" si="111"/>
        <v>0</v>
      </c>
      <c r="Q350" s="26">
        <f t="shared" si="111"/>
        <v>0</v>
      </c>
      <c r="R350" s="29" t="s">
        <v>15</v>
      </c>
      <c r="S350" s="29" t="s">
        <v>15</v>
      </c>
      <c r="T350" s="29" t="s">
        <v>15</v>
      </c>
      <c r="U350" s="29" t="s">
        <v>15</v>
      </c>
      <c r="V350" s="29" t="s">
        <v>15</v>
      </c>
      <c r="W350" s="29" t="s">
        <v>15</v>
      </c>
      <c r="X350" s="29" t="s">
        <v>15</v>
      </c>
      <c r="Y350" s="29" t="s">
        <v>15</v>
      </c>
      <c r="Z350" s="29" t="s">
        <v>15</v>
      </c>
      <c r="AA350" s="29" t="s">
        <v>15</v>
      </c>
      <c r="AB350" s="29" t="s">
        <v>15</v>
      </c>
      <c r="AC350" s="29" t="s">
        <v>15</v>
      </c>
    </row>
    <row r="351" spans="1:29" s="18" customFormat="1" ht="75.75" customHeight="1" x14ac:dyDescent="0.25">
      <c r="A351" s="39" t="s">
        <v>2</v>
      </c>
      <c r="B351" s="55" t="s">
        <v>140</v>
      </c>
      <c r="C351" s="39" t="s">
        <v>15</v>
      </c>
      <c r="D351" s="39" t="s">
        <v>15</v>
      </c>
      <c r="E351" s="39" t="s">
        <v>15</v>
      </c>
      <c r="F351" s="11">
        <f>F352+F355+F359</f>
        <v>158057.20000000001</v>
      </c>
      <c r="G351" s="11">
        <f t="shared" ref="G351:Q351" si="112">G352+G355+G359</f>
        <v>6585.6</v>
      </c>
      <c r="H351" s="11">
        <f t="shared" si="112"/>
        <v>0</v>
      </c>
      <c r="I351" s="11">
        <f t="shared" si="112"/>
        <v>0</v>
      </c>
      <c r="J351" s="11">
        <f t="shared" si="112"/>
        <v>143694.6</v>
      </c>
      <c r="K351" s="11">
        <f t="shared" si="112"/>
        <v>5987.2000000000007</v>
      </c>
      <c r="L351" s="11">
        <f t="shared" si="112"/>
        <v>0</v>
      </c>
      <c r="M351" s="11">
        <f t="shared" si="112"/>
        <v>0</v>
      </c>
      <c r="N351" s="11">
        <f t="shared" si="112"/>
        <v>0</v>
      </c>
      <c r="O351" s="11">
        <f t="shared" si="112"/>
        <v>0</v>
      </c>
      <c r="P351" s="11">
        <f t="shared" si="112"/>
        <v>0</v>
      </c>
      <c r="Q351" s="11">
        <f t="shared" si="112"/>
        <v>0</v>
      </c>
      <c r="R351" s="39" t="s">
        <v>15</v>
      </c>
      <c r="S351" s="39" t="s">
        <v>15</v>
      </c>
      <c r="T351" s="39" t="s">
        <v>15</v>
      </c>
      <c r="U351" s="39" t="s">
        <v>15</v>
      </c>
      <c r="V351" s="39" t="s">
        <v>15</v>
      </c>
      <c r="W351" s="39" t="s">
        <v>15</v>
      </c>
      <c r="X351" s="39" t="s">
        <v>15</v>
      </c>
      <c r="Y351" s="39" t="s">
        <v>15</v>
      </c>
      <c r="Z351" s="39" t="s">
        <v>15</v>
      </c>
      <c r="AA351" s="39" t="s">
        <v>15</v>
      </c>
      <c r="AB351" s="39" t="s">
        <v>15</v>
      </c>
      <c r="AC351" s="39" t="s">
        <v>15</v>
      </c>
    </row>
    <row r="352" spans="1:29" s="43" customFormat="1" ht="93" customHeight="1" x14ac:dyDescent="0.25">
      <c r="A352" s="2" t="s">
        <v>1</v>
      </c>
      <c r="B352" s="10" t="s">
        <v>275</v>
      </c>
      <c r="C352" s="16" t="s">
        <v>15</v>
      </c>
      <c r="D352" s="16" t="s">
        <v>15</v>
      </c>
      <c r="E352" s="16" t="s">
        <v>15</v>
      </c>
      <c r="F352" s="8">
        <f>F353</f>
        <v>16783.7</v>
      </c>
      <c r="G352" s="8">
        <f t="shared" ref="G352:Q352" si="113">G353</f>
        <v>699.3</v>
      </c>
      <c r="H352" s="8">
        <f t="shared" si="113"/>
        <v>0</v>
      </c>
      <c r="I352" s="8">
        <f t="shared" si="113"/>
        <v>0</v>
      </c>
      <c r="J352" s="8">
        <f t="shared" si="113"/>
        <v>18717.900000000001</v>
      </c>
      <c r="K352" s="8">
        <f t="shared" si="113"/>
        <v>779.9</v>
      </c>
      <c r="L352" s="8">
        <f t="shared" si="113"/>
        <v>0</v>
      </c>
      <c r="M352" s="8">
        <f t="shared" si="113"/>
        <v>0</v>
      </c>
      <c r="N352" s="8">
        <f t="shared" si="113"/>
        <v>0</v>
      </c>
      <c r="O352" s="8">
        <f t="shared" si="113"/>
        <v>0</v>
      </c>
      <c r="P352" s="8">
        <f t="shared" si="113"/>
        <v>0</v>
      </c>
      <c r="Q352" s="8">
        <f t="shared" si="113"/>
        <v>0</v>
      </c>
      <c r="R352" s="16" t="s">
        <v>15</v>
      </c>
      <c r="S352" s="16" t="s">
        <v>15</v>
      </c>
      <c r="T352" s="16" t="s">
        <v>15</v>
      </c>
      <c r="U352" s="16" t="s">
        <v>15</v>
      </c>
      <c r="V352" s="16" t="s">
        <v>15</v>
      </c>
      <c r="W352" s="16" t="s">
        <v>15</v>
      </c>
      <c r="X352" s="16" t="s">
        <v>15</v>
      </c>
      <c r="Y352" s="16" t="s">
        <v>15</v>
      </c>
      <c r="Z352" s="16" t="s">
        <v>15</v>
      </c>
      <c r="AA352" s="16" t="s">
        <v>15</v>
      </c>
      <c r="AB352" s="16" t="s">
        <v>15</v>
      </c>
      <c r="AC352" s="16" t="s">
        <v>15</v>
      </c>
    </row>
    <row r="353" spans="1:29" s="104" customFormat="1" ht="83.25" customHeight="1" x14ac:dyDescent="0.25">
      <c r="A353" s="158" t="s">
        <v>25</v>
      </c>
      <c r="B353" s="87" t="s">
        <v>130</v>
      </c>
      <c r="C353" s="219" t="s">
        <v>4</v>
      </c>
      <c r="D353" s="218" t="s">
        <v>360</v>
      </c>
      <c r="E353" s="218" t="s">
        <v>360</v>
      </c>
      <c r="F353" s="206">
        <f>F354</f>
        <v>16783.7</v>
      </c>
      <c r="G353" s="206">
        <f t="shared" ref="G353:Q353" si="114">G354</f>
        <v>699.3</v>
      </c>
      <c r="H353" s="206">
        <f t="shared" si="114"/>
        <v>0</v>
      </c>
      <c r="I353" s="206">
        <f t="shared" si="114"/>
        <v>0</v>
      </c>
      <c r="J353" s="206">
        <f t="shared" si="114"/>
        <v>18717.900000000001</v>
      </c>
      <c r="K353" s="206">
        <f t="shared" si="114"/>
        <v>779.9</v>
      </c>
      <c r="L353" s="206">
        <f t="shared" si="114"/>
        <v>0</v>
      </c>
      <c r="M353" s="206">
        <f t="shared" si="114"/>
        <v>0</v>
      </c>
      <c r="N353" s="206">
        <f t="shared" si="114"/>
        <v>0</v>
      </c>
      <c r="O353" s="206">
        <f t="shared" si="114"/>
        <v>0</v>
      </c>
      <c r="P353" s="206">
        <f t="shared" si="114"/>
        <v>0</v>
      </c>
      <c r="Q353" s="206">
        <f t="shared" si="114"/>
        <v>0</v>
      </c>
      <c r="R353" s="82" t="s">
        <v>15</v>
      </c>
      <c r="S353" s="82" t="s">
        <v>15</v>
      </c>
      <c r="T353" s="82" t="s">
        <v>15</v>
      </c>
      <c r="U353" s="82" t="s">
        <v>15</v>
      </c>
      <c r="V353" s="82" t="s">
        <v>15</v>
      </c>
      <c r="W353" s="82" t="s">
        <v>15</v>
      </c>
      <c r="X353" s="82" t="s">
        <v>15</v>
      </c>
      <c r="Y353" s="82" t="s">
        <v>15</v>
      </c>
      <c r="Z353" s="82" t="s">
        <v>15</v>
      </c>
      <c r="AA353" s="218" t="s">
        <v>361</v>
      </c>
      <c r="AB353" s="218" t="s">
        <v>362</v>
      </c>
      <c r="AC353" s="218" t="s">
        <v>555</v>
      </c>
    </row>
    <row r="354" spans="1:29" s="104" customFormat="1" ht="180.75" customHeight="1" x14ac:dyDescent="0.25">
      <c r="A354" s="158" t="s">
        <v>293</v>
      </c>
      <c r="B354" s="97" t="s">
        <v>1040</v>
      </c>
      <c r="C354" s="219"/>
      <c r="D354" s="218"/>
      <c r="E354" s="218"/>
      <c r="F354" s="206">
        <v>16783.7</v>
      </c>
      <c r="G354" s="83">
        <v>699.3</v>
      </c>
      <c r="H354" s="83">
        <v>0</v>
      </c>
      <c r="I354" s="83">
        <v>0</v>
      </c>
      <c r="J354" s="206">
        <v>18717.900000000001</v>
      </c>
      <c r="K354" s="83">
        <v>779.9</v>
      </c>
      <c r="L354" s="83">
        <v>0</v>
      </c>
      <c r="M354" s="83">
        <v>0</v>
      </c>
      <c r="N354" s="206">
        <v>0</v>
      </c>
      <c r="O354" s="83">
        <v>0</v>
      </c>
      <c r="P354" s="83">
        <v>0</v>
      </c>
      <c r="Q354" s="83">
        <v>0</v>
      </c>
      <c r="R354" s="82" t="s">
        <v>15</v>
      </c>
      <c r="S354" s="82" t="s">
        <v>15</v>
      </c>
      <c r="T354" s="82" t="s">
        <v>15</v>
      </c>
      <c r="U354" s="82" t="s">
        <v>15</v>
      </c>
      <c r="V354" s="82" t="s">
        <v>15</v>
      </c>
      <c r="W354" s="82" t="s">
        <v>15</v>
      </c>
      <c r="X354" s="82" t="s">
        <v>15</v>
      </c>
      <c r="Y354" s="82" t="s">
        <v>15</v>
      </c>
      <c r="Z354" s="82" t="s">
        <v>15</v>
      </c>
      <c r="AA354" s="218"/>
      <c r="AB354" s="218"/>
      <c r="AC354" s="218"/>
    </row>
    <row r="355" spans="1:29" s="43" customFormat="1" ht="84" customHeight="1" x14ac:dyDescent="0.25">
      <c r="A355" s="2" t="s">
        <v>8</v>
      </c>
      <c r="B355" s="10" t="s">
        <v>276</v>
      </c>
      <c r="C355" s="16" t="s">
        <v>15</v>
      </c>
      <c r="D355" s="16" t="s">
        <v>15</v>
      </c>
      <c r="E355" s="16" t="s">
        <v>15</v>
      </c>
      <c r="F355" s="8">
        <f>F356</f>
        <v>46628.1</v>
      </c>
      <c r="G355" s="8">
        <f t="shared" ref="G355:Q355" si="115">G356</f>
        <v>1942.8</v>
      </c>
      <c r="H355" s="8">
        <f t="shared" si="115"/>
        <v>0</v>
      </c>
      <c r="I355" s="8">
        <f t="shared" si="115"/>
        <v>0</v>
      </c>
      <c r="J355" s="8">
        <f t="shared" si="115"/>
        <v>53708.200000000004</v>
      </c>
      <c r="K355" s="8">
        <f t="shared" si="115"/>
        <v>2237.8000000000002</v>
      </c>
      <c r="L355" s="8">
        <f t="shared" si="115"/>
        <v>0</v>
      </c>
      <c r="M355" s="8">
        <f t="shared" si="115"/>
        <v>0</v>
      </c>
      <c r="N355" s="8">
        <f t="shared" si="115"/>
        <v>0</v>
      </c>
      <c r="O355" s="8">
        <f t="shared" si="115"/>
        <v>0</v>
      </c>
      <c r="P355" s="8">
        <f t="shared" si="115"/>
        <v>0</v>
      </c>
      <c r="Q355" s="8">
        <f t="shared" si="115"/>
        <v>0</v>
      </c>
      <c r="R355" s="16" t="s">
        <v>15</v>
      </c>
      <c r="S355" s="16" t="s">
        <v>15</v>
      </c>
      <c r="T355" s="16" t="s">
        <v>15</v>
      </c>
      <c r="U355" s="16" t="s">
        <v>15</v>
      </c>
      <c r="V355" s="16" t="s">
        <v>15</v>
      </c>
      <c r="W355" s="16" t="s">
        <v>15</v>
      </c>
      <c r="X355" s="16" t="s">
        <v>15</v>
      </c>
      <c r="Y355" s="16" t="s">
        <v>15</v>
      </c>
      <c r="Z355" s="16" t="s">
        <v>15</v>
      </c>
      <c r="AA355" s="16" t="s">
        <v>15</v>
      </c>
      <c r="AB355" s="16" t="s">
        <v>15</v>
      </c>
      <c r="AC355" s="16" t="s">
        <v>15</v>
      </c>
    </row>
    <row r="356" spans="1:29" s="38" customFormat="1" ht="83.25" customHeight="1" x14ac:dyDescent="0.25">
      <c r="A356" s="158" t="s">
        <v>48</v>
      </c>
      <c r="B356" s="87" t="s">
        <v>130</v>
      </c>
      <c r="C356" s="219" t="s">
        <v>4</v>
      </c>
      <c r="D356" s="218" t="s">
        <v>360</v>
      </c>
      <c r="E356" s="218" t="s">
        <v>360</v>
      </c>
      <c r="F356" s="206">
        <f>F357+F358</f>
        <v>46628.1</v>
      </c>
      <c r="G356" s="206">
        <f t="shared" ref="G356:Q356" si="116">G357+G358</f>
        <v>1942.8</v>
      </c>
      <c r="H356" s="206">
        <f t="shared" si="116"/>
        <v>0</v>
      </c>
      <c r="I356" s="206">
        <f t="shared" si="116"/>
        <v>0</v>
      </c>
      <c r="J356" s="206">
        <f t="shared" si="116"/>
        <v>53708.200000000004</v>
      </c>
      <c r="K356" s="206">
        <f t="shared" si="116"/>
        <v>2237.8000000000002</v>
      </c>
      <c r="L356" s="206">
        <f t="shared" si="116"/>
        <v>0</v>
      </c>
      <c r="M356" s="206">
        <f t="shared" si="116"/>
        <v>0</v>
      </c>
      <c r="N356" s="206">
        <f t="shared" si="116"/>
        <v>0</v>
      </c>
      <c r="O356" s="206">
        <f t="shared" si="116"/>
        <v>0</v>
      </c>
      <c r="P356" s="206">
        <f t="shared" si="116"/>
        <v>0</v>
      </c>
      <c r="Q356" s="206">
        <f t="shared" si="116"/>
        <v>0</v>
      </c>
      <c r="R356" s="82" t="s">
        <v>15</v>
      </c>
      <c r="S356" s="82" t="s">
        <v>15</v>
      </c>
      <c r="T356" s="82" t="s">
        <v>15</v>
      </c>
      <c r="U356" s="82" t="s">
        <v>15</v>
      </c>
      <c r="V356" s="82" t="s">
        <v>15</v>
      </c>
      <c r="W356" s="82" t="s">
        <v>15</v>
      </c>
      <c r="X356" s="82" t="s">
        <v>15</v>
      </c>
      <c r="Y356" s="82" t="s">
        <v>15</v>
      </c>
      <c r="Z356" s="82" t="s">
        <v>15</v>
      </c>
      <c r="AA356" s="218" t="s">
        <v>361</v>
      </c>
      <c r="AB356" s="218" t="s">
        <v>362</v>
      </c>
      <c r="AC356" s="218" t="s">
        <v>556</v>
      </c>
    </row>
    <row r="357" spans="1:29" s="38" customFormat="1" ht="119.25" customHeight="1" x14ac:dyDescent="0.25">
      <c r="A357" s="158" t="s">
        <v>289</v>
      </c>
      <c r="B357" s="97" t="s">
        <v>1041</v>
      </c>
      <c r="C357" s="219"/>
      <c r="D357" s="218"/>
      <c r="E357" s="218"/>
      <c r="F357" s="206">
        <v>14480</v>
      </c>
      <c r="G357" s="83">
        <v>603.29999999999995</v>
      </c>
      <c r="H357" s="206">
        <v>0</v>
      </c>
      <c r="I357" s="206">
        <v>0</v>
      </c>
      <c r="J357" s="206">
        <v>17033.400000000001</v>
      </c>
      <c r="K357" s="83">
        <v>709.7</v>
      </c>
      <c r="L357" s="206">
        <v>0</v>
      </c>
      <c r="M357" s="206">
        <v>0</v>
      </c>
      <c r="N357" s="206">
        <v>0</v>
      </c>
      <c r="O357" s="206">
        <v>0</v>
      </c>
      <c r="P357" s="206">
        <v>0</v>
      </c>
      <c r="Q357" s="206">
        <v>0</v>
      </c>
      <c r="R357" s="82" t="s">
        <v>15</v>
      </c>
      <c r="S357" s="82" t="s">
        <v>15</v>
      </c>
      <c r="T357" s="82" t="s">
        <v>15</v>
      </c>
      <c r="U357" s="82" t="s">
        <v>15</v>
      </c>
      <c r="V357" s="82" t="s">
        <v>15</v>
      </c>
      <c r="W357" s="82" t="s">
        <v>15</v>
      </c>
      <c r="X357" s="82" t="s">
        <v>15</v>
      </c>
      <c r="Y357" s="82" t="s">
        <v>15</v>
      </c>
      <c r="Z357" s="82" t="s">
        <v>15</v>
      </c>
      <c r="AA357" s="218"/>
      <c r="AB357" s="218"/>
      <c r="AC357" s="218"/>
    </row>
    <row r="358" spans="1:29" s="38" customFormat="1" ht="162" customHeight="1" x14ac:dyDescent="0.25">
      <c r="A358" s="158" t="s">
        <v>294</v>
      </c>
      <c r="B358" s="97" t="s">
        <v>1042</v>
      </c>
      <c r="C358" s="219"/>
      <c r="D358" s="218"/>
      <c r="E358" s="218"/>
      <c r="F358" s="206">
        <v>32148.1</v>
      </c>
      <c r="G358" s="83">
        <v>1339.5</v>
      </c>
      <c r="H358" s="206">
        <v>0</v>
      </c>
      <c r="I358" s="206">
        <v>0</v>
      </c>
      <c r="J358" s="206">
        <v>36674.800000000003</v>
      </c>
      <c r="K358" s="83">
        <v>1528.1</v>
      </c>
      <c r="L358" s="206">
        <v>0</v>
      </c>
      <c r="M358" s="206">
        <v>0</v>
      </c>
      <c r="N358" s="206">
        <v>0</v>
      </c>
      <c r="O358" s="206">
        <v>0</v>
      </c>
      <c r="P358" s="206">
        <v>0</v>
      </c>
      <c r="Q358" s="206">
        <v>0</v>
      </c>
      <c r="R358" s="82" t="s">
        <v>15</v>
      </c>
      <c r="S358" s="82" t="s">
        <v>15</v>
      </c>
      <c r="T358" s="82" t="s">
        <v>15</v>
      </c>
      <c r="U358" s="82" t="s">
        <v>15</v>
      </c>
      <c r="V358" s="82" t="s">
        <v>15</v>
      </c>
      <c r="W358" s="82" t="s">
        <v>15</v>
      </c>
      <c r="X358" s="82" t="s">
        <v>15</v>
      </c>
      <c r="Y358" s="82" t="s">
        <v>15</v>
      </c>
      <c r="Z358" s="82" t="s">
        <v>15</v>
      </c>
      <c r="AA358" s="218"/>
      <c r="AB358" s="218"/>
      <c r="AC358" s="218"/>
    </row>
    <row r="359" spans="1:29" s="43" customFormat="1" ht="75.75" customHeight="1" x14ac:dyDescent="0.25">
      <c r="A359" s="2" t="s">
        <v>42</v>
      </c>
      <c r="B359" s="10" t="s">
        <v>277</v>
      </c>
      <c r="C359" s="16" t="s">
        <v>15</v>
      </c>
      <c r="D359" s="16" t="s">
        <v>15</v>
      </c>
      <c r="E359" s="16" t="s">
        <v>15</v>
      </c>
      <c r="F359" s="8">
        <f>F360</f>
        <v>94645.4</v>
      </c>
      <c r="G359" s="8">
        <f t="shared" ref="G359:Q359" si="117">G360</f>
        <v>3943.5</v>
      </c>
      <c r="H359" s="8">
        <f t="shared" si="117"/>
        <v>0</v>
      </c>
      <c r="I359" s="8">
        <f t="shared" si="117"/>
        <v>0</v>
      </c>
      <c r="J359" s="8">
        <f t="shared" si="117"/>
        <v>71268.5</v>
      </c>
      <c r="K359" s="8">
        <f t="shared" si="117"/>
        <v>2969.5</v>
      </c>
      <c r="L359" s="8">
        <f t="shared" si="117"/>
        <v>0</v>
      </c>
      <c r="M359" s="8">
        <f t="shared" si="117"/>
        <v>0</v>
      </c>
      <c r="N359" s="8">
        <f t="shared" si="117"/>
        <v>0</v>
      </c>
      <c r="O359" s="8">
        <f t="shared" si="117"/>
        <v>0</v>
      </c>
      <c r="P359" s="8">
        <f t="shared" si="117"/>
        <v>0</v>
      </c>
      <c r="Q359" s="8">
        <f t="shared" si="117"/>
        <v>0</v>
      </c>
      <c r="R359" s="16" t="s">
        <v>15</v>
      </c>
      <c r="S359" s="16" t="s">
        <v>15</v>
      </c>
      <c r="T359" s="16" t="s">
        <v>15</v>
      </c>
      <c r="U359" s="16" t="s">
        <v>15</v>
      </c>
      <c r="V359" s="16" t="s">
        <v>15</v>
      </c>
      <c r="W359" s="16" t="s">
        <v>15</v>
      </c>
      <c r="X359" s="16" t="s">
        <v>15</v>
      </c>
      <c r="Y359" s="16" t="s">
        <v>15</v>
      </c>
      <c r="Z359" s="16" t="s">
        <v>15</v>
      </c>
      <c r="AA359" s="16" t="s">
        <v>15</v>
      </c>
      <c r="AB359" s="16" t="s">
        <v>15</v>
      </c>
      <c r="AC359" s="16" t="s">
        <v>15</v>
      </c>
    </row>
    <row r="360" spans="1:29" s="38" customFormat="1" ht="81" customHeight="1" x14ac:dyDescent="0.25">
      <c r="A360" s="102" t="s">
        <v>50</v>
      </c>
      <c r="B360" s="87" t="s">
        <v>130</v>
      </c>
      <c r="C360" s="219" t="s">
        <v>4</v>
      </c>
      <c r="D360" s="218" t="s">
        <v>360</v>
      </c>
      <c r="E360" s="218" t="s">
        <v>360</v>
      </c>
      <c r="F360" s="206">
        <f>F361+F362+F363+F364+F365</f>
        <v>94645.4</v>
      </c>
      <c r="G360" s="206">
        <f t="shared" ref="G360:Q360" si="118">G361+G362+G363+G364+G365</f>
        <v>3943.5</v>
      </c>
      <c r="H360" s="206">
        <f t="shared" si="118"/>
        <v>0</v>
      </c>
      <c r="I360" s="206">
        <f t="shared" si="118"/>
        <v>0</v>
      </c>
      <c r="J360" s="206">
        <f t="shared" si="118"/>
        <v>71268.5</v>
      </c>
      <c r="K360" s="206">
        <f t="shared" si="118"/>
        <v>2969.5</v>
      </c>
      <c r="L360" s="206">
        <f t="shared" si="118"/>
        <v>0</v>
      </c>
      <c r="M360" s="206">
        <f t="shared" si="118"/>
        <v>0</v>
      </c>
      <c r="N360" s="206">
        <f t="shared" si="118"/>
        <v>0</v>
      </c>
      <c r="O360" s="206">
        <f t="shared" si="118"/>
        <v>0</v>
      </c>
      <c r="P360" s="206">
        <f t="shared" si="118"/>
        <v>0</v>
      </c>
      <c r="Q360" s="206">
        <f t="shared" si="118"/>
        <v>0</v>
      </c>
      <c r="R360" s="82" t="s">
        <v>15</v>
      </c>
      <c r="S360" s="82" t="s">
        <v>15</v>
      </c>
      <c r="T360" s="82" t="s">
        <v>15</v>
      </c>
      <c r="U360" s="82" t="s">
        <v>15</v>
      </c>
      <c r="V360" s="82" t="s">
        <v>15</v>
      </c>
      <c r="W360" s="82" t="s">
        <v>15</v>
      </c>
      <c r="X360" s="82" t="s">
        <v>15</v>
      </c>
      <c r="Y360" s="82" t="s">
        <v>15</v>
      </c>
      <c r="Z360" s="82" t="s">
        <v>15</v>
      </c>
      <c r="AA360" s="245" t="s">
        <v>361</v>
      </c>
      <c r="AB360" s="245" t="s">
        <v>362</v>
      </c>
      <c r="AC360" s="245" t="s">
        <v>557</v>
      </c>
    </row>
    <row r="361" spans="1:29" s="38" customFormat="1" ht="87" customHeight="1" x14ac:dyDescent="0.25">
      <c r="A361" s="93" t="s">
        <v>57</v>
      </c>
      <c r="B361" s="103" t="s">
        <v>131</v>
      </c>
      <c r="C361" s="219"/>
      <c r="D361" s="218"/>
      <c r="E361" s="218"/>
      <c r="F361" s="206">
        <v>19301.5</v>
      </c>
      <c r="G361" s="83">
        <v>804.2</v>
      </c>
      <c r="H361" s="206">
        <v>0</v>
      </c>
      <c r="I361" s="206">
        <v>0</v>
      </c>
      <c r="J361" s="206">
        <v>0</v>
      </c>
      <c r="K361" s="83">
        <v>0</v>
      </c>
      <c r="L361" s="206">
        <v>0</v>
      </c>
      <c r="M361" s="206">
        <v>0</v>
      </c>
      <c r="N361" s="206">
        <v>0</v>
      </c>
      <c r="O361" s="206">
        <v>0</v>
      </c>
      <c r="P361" s="206">
        <v>0</v>
      </c>
      <c r="Q361" s="206">
        <v>0</v>
      </c>
      <c r="R361" s="82" t="s">
        <v>15</v>
      </c>
      <c r="S361" s="82" t="s">
        <v>15</v>
      </c>
      <c r="T361" s="82" t="s">
        <v>15</v>
      </c>
      <c r="U361" s="82" t="s">
        <v>15</v>
      </c>
      <c r="V361" s="82" t="s">
        <v>15</v>
      </c>
      <c r="W361" s="82" t="s">
        <v>15</v>
      </c>
      <c r="X361" s="82" t="s">
        <v>15</v>
      </c>
      <c r="Y361" s="82" t="s">
        <v>15</v>
      </c>
      <c r="Z361" s="82" t="s">
        <v>15</v>
      </c>
      <c r="AA361" s="245"/>
      <c r="AB361" s="245"/>
      <c r="AC361" s="245"/>
    </row>
    <row r="362" spans="1:29" s="38" customFormat="1" ht="71.25" customHeight="1" x14ac:dyDescent="0.25">
      <c r="A362" s="158" t="s">
        <v>58</v>
      </c>
      <c r="B362" s="103" t="s">
        <v>132</v>
      </c>
      <c r="C362" s="219"/>
      <c r="D362" s="218"/>
      <c r="E362" s="218"/>
      <c r="F362" s="206">
        <v>0</v>
      </c>
      <c r="G362" s="206">
        <v>0</v>
      </c>
      <c r="H362" s="206">
        <v>0</v>
      </c>
      <c r="I362" s="206">
        <v>0</v>
      </c>
      <c r="J362" s="206">
        <v>0</v>
      </c>
      <c r="K362" s="83">
        <v>0</v>
      </c>
      <c r="L362" s="206">
        <v>0</v>
      </c>
      <c r="M362" s="206">
        <v>0</v>
      </c>
      <c r="N362" s="206">
        <v>0</v>
      </c>
      <c r="O362" s="206">
        <v>0</v>
      </c>
      <c r="P362" s="206">
        <v>0</v>
      </c>
      <c r="Q362" s="206">
        <v>0</v>
      </c>
      <c r="R362" s="82" t="s">
        <v>15</v>
      </c>
      <c r="S362" s="82" t="s">
        <v>15</v>
      </c>
      <c r="T362" s="82" t="s">
        <v>15</v>
      </c>
      <c r="U362" s="82" t="s">
        <v>15</v>
      </c>
      <c r="V362" s="82" t="s">
        <v>15</v>
      </c>
      <c r="W362" s="82" t="s">
        <v>15</v>
      </c>
      <c r="X362" s="82" t="s">
        <v>15</v>
      </c>
      <c r="Y362" s="82" t="s">
        <v>15</v>
      </c>
      <c r="Z362" s="82" t="s">
        <v>15</v>
      </c>
      <c r="AA362" s="245"/>
      <c r="AB362" s="245"/>
      <c r="AC362" s="245"/>
    </row>
    <row r="363" spans="1:29" s="38" customFormat="1" ht="99" customHeight="1" x14ac:dyDescent="0.25">
      <c r="A363" s="158" t="s">
        <v>59</v>
      </c>
      <c r="B363" s="103" t="s">
        <v>133</v>
      </c>
      <c r="C363" s="219"/>
      <c r="D363" s="218"/>
      <c r="E363" s="218"/>
      <c r="F363" s="206">
        <v>29467.3</v>
      </c>
      <c r="G363" s="83">
        <v>1227.8</v>
      </c>
      <c r="H363" s="206">
        <v>0</v>
      </c>
      <c r="I363" s="206">
        <v>0</v>
      </c>
      <c r="J363" s="206">
        <v>29467.3</v>
      </c>
      <c r="K363" s="83">
        <v>1227.8</v>
      </c>
      <c r="L363" s="206">
        <v>0</v>
      </c>
      <c r="M363" s="206">
        <v>0</v>
      </c>
      <c r="N363" s="206">
        <v>0</v>
      </c>
      <c r="O363" s="206">
        <v>0</v>
      </c>
      <c r="P363" s="206">
        <v>0</v>
      </c>
      <c r="Q363" s="206">
        <v>0</v>
      </c>
      <c r="R363" s="82" t="s">
        <v>15</v>
      </c>
      <c r="S363" s="82" t="s">
        <v>15</v>
      </c>
      <c r="T363" s="82" t="s">
        <v>15</v>
      </c>
      <c r="U363" s="82" t="s">
        <v>15</v>
      </c>
      <c r="V363" s="82" t="s">
        <v>15</v>
      </c>
      <c r="W363" s="82" t="s">
        <v>15</v>
      </c>
      <c r="X363" s="82" t="s">
        <v>15</v>
      </c>
      <c r="Y363" s="82" t="s">
        <v>15</v>
      </c>
      <c r="Z363" s="82" t="s">
        <v>15</v>
      </c>
      <c r="AA363" s="245"/>
      <c r="AB363" s="245"/>
      <c r="AC363" s="245"/>
    </row>
    <row r="364" spans="1:29" s="38" customFormat="1" ht="86.25" customHeight="1" x14ac:dyDescent="0.25">
      <c r="A364" s="158" t="s">
        <v>295</v>
      </c>
      <c r="B364" s="103" t="s">
        <v>134</v>
      </c>
      <c r="C364" s="219"/>
      <c r="D364" s="218"/>
      <c r="E364" s="218"/>
      <c r="F364" s="206">
        <v>45876.6</v>
      </c>
      <c r="G364" s="83">
        <v>1911.5</v>
      </c>
      <c r="H364" s="206">
        <v>0</v>
      </c>
      <c r="I364" s="206">
        <v>0</v>
      </c>
      <c r="J364" s="206">
        <v>41801.199999999997</v>
      </c>
      <c r="K364" s="83">
        <v>1741.7</v>
      </c>
      <c r="L364" s="206">
        <v>0</v>
      </c>
      <c r="M364" s="206">
        <v>0</v>
      </c>
      <c r="N364" s="206">
        <v>0</v>
      </c>
      <c r="O364" s="206">
        <v>0</v>
      </c>
      <c r="P364" s="206">
        <v>0</v>
      </c>
      <c r="Q364" s="206">
        <v>0</v>
      </c>
      <c r="R364" s="82" t="s">
        <v>15</v>
      </c>
      <c r="S364" s="82" t="s">
        <v>15</v>
      </c>
      <c r="T364" s="82" t="s">
        <v>15</v>
      </c>
      <c r="U364" s="82" t="s">
        <v>15</v>
      </c>
      <c r="V364" s="82" t="s">
        <v>15</v>
      </c>
      <c r="W364" s="82" t="s">
        <v>15</v>
      </c>
      <c r="X364" s="82" t="s">
        <v>15</v>
      </c>
      <c r="Y364" s="82" t="s">
        <v>15</v>
      </c>
      <c r="Z364" s="82" t="s">
        <v>15</v>
      </c>
      <c r="AA364" s="245"/>
      <c r="AB364" s="245"/>
      <c r="AC364" s="245"/>
    </row>
    <row r="365" spans="1:29" s="38" customFormat="1" ht="131.25" customHeight="1" x14ac:dyDescent="0.25">
      <c r="A365" s="158" t="s">
        <v>296</v>
      </c>
      <c r="B365" s="103" t="s">
        <v>135</v>
      </c>
      <c r="C365" s="219"/>
      <c r="D365" s="218"/>
      <c r="E365" s="218"/>
      <c r="F365" s="206">
        <v>0</v>
      </c>
      <c r="G365" s="83">
        <v>0</v>
      </c>
      <c r="H365" s="206">
        <v>0</v>
      </c>
      <c r="I365" s="206">
        <v>0</v>
      </c>
      <c r="J365" s="206">
        <v>0</v>
      </c>
      <c r="K365" s="206">
        <v>0</v>
      </c>
      <c r="L365" s="206">
        <v>0</v>
      </c>
      <c r="M365" s="206">
        <v>0</v>
      </c>
      <c r="N365" s="206">
        <v>0</v>
      </c>
      <c r="O365" s="206">
        <v>0</v>
      </c>
      <c r="P365" s="206">
        <v>0</v>
      </c>
      <c r="Q365" s="206">
        <v>0</v>
      </c>
      <c r="R365" s="82" t="s">
        <v>15</v>
      </c>
      <c r="S365" s="82" t="s">
        <v>15</v>
      </c>
      <c r="T365" s="82" t="s">
        <v>15</v>
      </c>
      <c r="U365" s="82" t="s">
        <v>15</v>
      </c>
      <c r="V365" s="82" t="s">
        <v>15</v>
      </c>
      <c r="W365" s="82" t="s">
        <v>15</v>
      </c>
      <c r="X365" s="82" t="s">
        <v>15</v>
      </c>
      <c r="Y365" s="82" t="s">
        <v>15</v>
      </c>
      <c r="Z365" s="82" t="s">
        <v>15</v>
      </c>
      <c r="AA365" s="245"/>
      <c r="AB365" s="245"/>
      <c r="AC365" s="245"/>
    </row>
    <row r="366" spans="1:29" s="18" customFormat="1" ht="42" customHeight="1" x14ac:dyDescent="0.25">
      <c r="A366" s="39" t="s">
        <v>29</v>
      </c>
      <c r="B366" s="55" t="s">
        <v>141</v>
      </c>
      <c r="C366" s="39" t="s">
        <v>15</v>
      </c>
      <c r="D366" s="39" t="s">
        <v>15</v>
      </c>
      <c r="E366" s="39" t="s">
        <v>15</v>
      </c>
      <c r="F366" s="11">
        <f>F367</f>
        <v>52008.9</v>
      </c>
      <c r="G366" s="11">
        <f t="shared" ref="G366:Q367" si="119">G367</f>
        <v>620.70000000000005</v>
      </c>
      <c r="H366" s="11">
        <f t="shared" si="119"/>
        <v>0</v>
      </c>
      <c r="I366" s="11">
        <f t="shared" si="119"/>
        <v>0</v>
      </c>
      <c r="J366" s="11">
        <f t="shared" si="119"/>
        <v>51987.1</v>
      </c>
      <c r="K366" s="11">
        <f t="shared" si="119"/>
        <v>620.70000000000005</v>
      </c>
      <c r="L366" s="11">
        <f t="shared" si="119"/>
        <v>0</v>
      </c>
      <c r="M366" s="11">
        <f t="shared" si="119"/>
        <v>0</v>
      </c>
      <c r="N366" s="11">
        <f t="shared" si="119"/>
        <v>0</v>
      </c>
      <c r="O366" s="11">
        <f t="shared" si="119"/>
        <v>0</v>
      </c>
      <c r="P366" s="11">
        <f t="shared" si="119"/>
        <v>0</v>
      </c>
      <c r="Q366" s="11">
        <f t="shared" si="119"/>
        <v>0</v>
      </c>
      <c r="R366" s="39" t="s">
        <v>15</v>
      </c>
      <c r="S366" s="39" t="s">
        <v>15</v>
      </c>
      <c r="T366" s="39" t="s">
        <v>15</v>
      </c>
      <c r="U366" s="39" t="s">
        <v>15</v>
      </c>
      <c r="V366" s="39" t="s">
        <v>15</v>
      </c>
      <c r="W366" s="39" t="s">
        <v>15</v>
      </c>
      <c r="X366" s="39" t="s">
        <v>15</v>
      </c>
      <c r="Y366" s="39" t="s">
        <v>15</v>
      </c>
      <c r="Z366" s="39" t="s">
        <v>15</v>
      </c>
      <c r="AA366" s="39" t="s">
        <v>15</v>
      </c>
      <c r="AB366" s="39" t="s">
        <v>15</v>
      </c>
      <c r="AC366" s="39" t="s">
        <v>15</v>
      </c>
    </row>
    <row r="367" spans="1:29" s="43" customFormat="1" ht="87.75" customHeight="1" x14ac:dyDescent="0.25">
      <c r="A367" s="2" t="s">
        <v>1</v>
      </c>
      <c r="B367" s="4" t="s">
        <v>278</v>
      </c>
      <c r="C367" s="16" t="s">
        <v>15</v>
      </c>
      <c r="D367" s="16" t="s">
        <v>15</v>
      </c>
      <c r="E367" s="16" t="s">
        <v>15</v>
      </c>
      <c r="F367" s="8">
        <f>F368</f>
        <v>52008.9</v>
      </c>
      <c r="G367" s="8">
        <f t="shared" si="119"/>
        <v>620.70000000000005</v>
      </c>
      <c r="H367" s="8">
        <f t="shared" si="119"/>
        <v>0</v>
      </c>
      <c r="I367" s="8">
        <f t="shared" si="119"/>
        <v>0</v>
      </c>
      <c r="J367" s="8">
        <f t="shared" si="119"/>
        <v>51987.1</v>
      </c>
      <c r="K367" s="8">
        <f t="shared" si="119"/>
        <v>620.70000000000005</v>
      </c>
      <c r="L367" s="8">
        <f t="shared" si="119"/>
        <v>0</v>
      </c>
      <c r="M367" s="8">
        <f t="shared" si="119"/>
        <v>0</v>
      </c>
      <c r="N367" s="8">
        <f t="shared" si="119"/>
        <v>0</v>
      </c>
      <c r="O367" s="8">
        <f t="shared" si="119"/>
        <v>0</v>
      </c>
      <c r="P367" s="8">
        <f t="shared" si="119"/>
        <v>0</v>
      </c>
      <c r="Q367" s="8">
        <f t="shared" si="119"/>
        <v>0</v>
      </c>
      <c r="R367" s="16" t="s">
        <v>15</v>
      </c>
      <c r="S367" s="16" t="s">
        <v>15</v>
      </c>
      <c r="T367" s="16" t="s">
        <v>15</v>
      </c>
      <c r="U367" s="16" t="s">
        <v>15</v>
      </c>
      <c r="V367" s="16" t="s">
        <v>15</v>
      </c>
      <c r="W367" s="16" t="s">
        <v>15</v>
      </c>
      <c r="X367" s="16" t="s">
        <v>15</v>
      </c>
      <c r="Y367" s="16" t="s">
        <v>15</v>
      </c>
      <c r="Z367" s="16" t="s">
        <v>15</v>
      </c>
      <c r="AA367" s="16" t="s">
        <v>15</v>
      </c>
      <c r="AB367" s="16" t="s">
        <v>15</v>
      </c>
      <c r="AC367" s="16" t="s">
        <v>15</v>
      </c>
    </row>
    <row r="368" spans="1:29" s="38" customFormat="1" ht="53.25" customHeight="1" x14ac:dyDescent="0.25">
      <c r="A368" s="158" t="s">
        <v>25</v>
      </c>
      <c r="B368" s="87" t="s">
        <v>145</v>
      </c>
      <c r="C368" s="219" t="s">
        <v>152</v>
      </c>
      <c r="D368" s="219" t="s">
        <v>360</v>
      </c>
      <c r="E368" s="219" t="s">
        <v>360</v>
      </c>
      <c r="F368" s="239">
        <v>52008.9</v>
      </c>
      <c r="G368" s="239">
        <v>620.70000000000005</v>
      </c>
      <c r="H368" s="239">
        <v>0</v>
      </c>
      <c r="I368" s="239">
        <v>0</v>
      </c>
      <c r="J368" s="239">
        <v>51987.1</v>
      </c>
      <c r="K368" s="239">
        <v>620.70000000000005</v>
      </c>
      <c r="L368" s="239">
        <v>0</v>
      </c>
      <c r="M368" s="239">
        <v>0</v>
      </c>
      <c r="N368" s="239">
        <v>0</v>
      </c>
      <c r="O368" s="239">
        <v>0</v>
      </c>
      <c r="P368" s="239">
        <v>0</v>
      </c>
      <c r="Q368" s="239">
        <v>0</v>
      </c>
      <c r="R368" s="82" t="s">
        <v>15</v>
      </c>
      <c r="S368" s="82" t="s">
        <v>15</v>
      </c>
      <c r="T368" s="82" t="s">
        <v>15</v>
      </c>
      <c r="U368" s="82" t="s">
        <v>15</v>
      </c>
      <c r="V368" s="82" t="s">
        <v>15</v>
      </c>
      <c r="W368" s="82" t="s">
        <v>15</v>
      </c>
      <c r="X368" s="82" t="s">
        <v>15</v>
      </c>
      <c r="Y368" s="82" t="s">
        <v>15</v>
      </c>
      <c r="Z368" s="82" t="s">
        <v>15</v>
      </c>
      <c r="AA368" s="218" t="s">
        <v>363</v>
      </c>
      <c r="AB368" s="244" t="s">
        <v>15</v>
      </c>
      <c r="AC368" s="218" t="s">
        <v>364</v>
      </c>
    </row>
    <row r="369" spans="1:29" s="38" customFormat="1" ht="133.5" customHeight="1" x14ac:dyDescent="0.25">
      <c r="A369" s="158" t="s">
        <v>293</v>
      </c>
      <c r="B369" s="97" t="s">
        <v>306</v>
      </c>
      <c r="C369" s="219"/>
      <c r="D369" s="219"/>
      <c r="E369" s="219"/>
      <c r="F369" s="239"/>
      <c r="G369" s="239"/>
      <c r="H369" s="239"/>
      <c r="I369" s="239"/>
      <c r="J369" s="239"/>
      <c r="K369" s="239"/>
      <c r="L369" s="239"/>
      <c r="M369" s="239"/>
      <c r="N369" s="239"/>
      <c r="O369" s="239"/>
      <c r="P369" s="239"/>
      <c r="Q369" s="239"/>
      <c r="R369" s="82" t="s">
        <v>15</v>
      </c>
      <c r="S369" s="82" t="s">
        <v>15</v>
      </c>
      <c r="T369" s="82" t="s">
        <v>15</v>
      </c>
      <c r="U369" s="82" t="s">
        <v>15</v>
      </c>
      <c r="V369" s="82" t="s">
        <v>15</v>
      </c>
      <c r="W369" s="82" t="s">
        <v>15</v>
      </c>
      <c r="X369" s="82" t="s">
        <v>15</v>
      </c>
      <c r="Y369" s="82" t="s">
        <v>15</v>
      </c>
      <c r="Z369" s="82" t="s">
        <v>15</v>
      </c>
      <c r="AA369" s="218"/>
      <c r="AB369" s="244"/>
      <c r="AC369" s="218"/>
    </row>
    <row r="370" spans="1:29" s="38" customFormat="1" ht="131.25" customHeight="1" x14ac:dyDescent="0.25">
      <c r="A370" s="158" t="s">
        <v>297</v>
      </c>
      <c r="B370" s="97" t="s">
        <v>307</v>
      </c>
      <c r="C370" s="219"/>
      <c r="D370" s="219"/>
      <c r="E370" s="219"/>
      <c r="F370" s="239"/>
      <c r="G370" s="239"/>
      <c r="H370" s="239"/>
      <c r="I370" s="239"/>
      <c r="J370" s="239"/>
      <c r="K370" s="239"/>
      <c r="L370" s="239"/>
      <c r="M370" s="239"/>
      <c r="N370" s="239"/>
      <c r="O370" s="239"/>
      <c r="P370" s="239"/>
      <c r="Q370" s="239"/>
      <c r="R370" s="82" t="s">
        <v>15</v>
      </c>
      <c r="S370" s="82" t="s">
        <v>15</v>
      </c>
      <c r="T370" s="82" t="s">
        <v>15</v>
      </c>
      <c r="U370" s="82" t="s">
        <v>15</v>
      </c>
      <c r="V370" s="82" t="s">
        <v>15</v>
      </c>
      <c r="W370" s="82" t="s">
        <v>15</v>
      </c>
      <c r="X370" s="82" t="s">
        <v>15</v>
      </c>
      <c r="Y370" s="82" t="s">
        <v>15</v>
      </c>
      <c r="Z370" s="82" t="s">
        <v>15</v>
      </c>
      <c r="AA370" s="218"/>
      <c r="AB370" s="244"/>
      <c r="AC370" s="218"/>
    </row>
    <row r="371" spans="1:29" s="22" customFormat="1" ht="53.25" customHeight="1" x14ac:dyDescent="0.25">
      <c r="A371" s="2" t="s">
        <v>5</v>
      </c>
      <c r="B371" s="4" t="s">
        <v>31</v>
      </c>
      <c r="C371" s="2" t="s">
        <v>15</v>
      </c>
      <c r="D371" s="2" t="s">
        <v>15</v>
      </c>
      <c r="E371" s="2" t="s">
        <v>15</v>
      </c>
      <c r="F371" s="8">
        <f>F372</f>
        <v>1470.3</v>
      </c>
      <c r="G371" s="8">
        <f t="shared" ref="G371:Q371" si="120">G372</f>
        <v>1357.2</v>
      </c>
      <c r="H371" s="8">
        <f t="shared" si="120"/>
        <v>0</v>
      </c>
      <c r="I371" s="8">
        <f t="shared" si="120"/>
        <v>1456.6</v>
      </c>
      <c r="J371" s="8">
        <f t="shared" si="120"/>
        <v>1470.3</v>
      </c>
      <c r="K371" s="8">
        <f t="shared" si="120"/>
        <v>1357.2</v>
      </c>
      <c r="L371" s="8">
        <f t="shared" si="120"/>
        <v>0</v>
      </c>
      <c r="M371" s="8">
        <f t="shared" si="120"/>
        <v>1456.6</v>
      </c>
      <c r="N371" s="8">
        <f t="shared" si="120"/>
        <v>0</v>
      </c>
      <c r="O371" s="8">
        <f t="shared" si="120"/>
        <v>0</v>
      </c>
      <c r="P371" s="8">
        <f t="shared" si="120"/>
        <v>0</v>
      </c>
      <c r="Q371" s="8">
        <f t="shared" si="120"/>
        <v>0</v>
      </c>
      <c r="R371" s="2" t="s">
        <v>15</v>
      </c>
      <c r="S371" s="2" t="s">
        <v>15</v>
      </c>
      <c r="T371" s="2" t="s">
        <v>15</v>
      </c>
      <c r="U371" s="2" t="s">
        <v>15</v>
      </c>
      <c r="V371" s="2" t="s">
        <v>15</v>
      </c>
      <c r="W371" s="2" t="s">
        <v>15</v>
      </c>
      <c r="X371" s="2" t="s">
        <v>15</v>
      </c>
      <c r="Y371" s="2" t="s">
        <v>15</v>
      </c>
      <c r="Z371" s="2" t="s">
        <v>15</v>
      </c>
      <c r="AA371" s="2" t="s">
        <v>15</v>
      </c>
      <c r="AB371" s="2" t="s">
        <v>15</v>
      </c>
      <c r="AC371" s="2" t="s">
        <v>15</v>
      </c>
    </row>
    <row r="372" spans="1:29" s="37" customFormat="1" ht="53.25" customHeight="1" x14ac:dyDescent="0.25">
      <c r="A372" s="13" t="s">
        <v>1</v>
      </c>
      <c r="B372" s="35" t="s">
        <v>299</v>
      </c>
      <c r="C372" s="13" t="s">
        <v>15</v>
      </c>
      <c r="D372" s="13" t="s">
        <v>15</v>
      </c>
      <c r="E372" s="13" t="s">
        <v>15</v>
      </c>
      <c r="F372" s="20">
        <f>F373</f>
        <v>1470.3</v>
      </c>
      <c r="G372" s="20">
        <f t="shared" ref="G372:Q372" si="121">G373</f>
        <v>1357.2</v>
      </c>
      <c r="H372" s="20">
        <f t="shared" si="121"/>
        <v>0</v>
      </c>
      <c r="I372" s="20">
        <f t="shared" si="121"/>
        <v>1456.6</v>
      </c>
      <c r="J372" s="20">
        <f t="shared" si="121"/>
        <v>1470.3</v>
      </c>
      <c r="K372" s="20">
        <f t="shared" si="121"/>
        <v>1357.2</v>
      </c>
      <c r="L372" s="20">
        <f t="shared" si="121"/>
        <v>0</v>
      </c>
      <c r="M372" s="20">
        <f t="shared" si="121"/>
        <v>1456.6</v>
      </c>
      <c r="N372" s="20">
        <f t="shared" si="121"/>
        <v>0</v>
      </c>
      <c r="O372" s="20">
        <f t="shared" si="121"/>
        <v>0</v>
      </c>
      <c r="P372" s="20">
        <f t="shared" si="121"/>
        <v>0</v>
      </c>
      <c r="Q372" s="20">
        <f t="shared" si="121"/>
        <v>0</v>
      </c>
      <c r="R372" s="13" t="s">
        <v>15</v>
      </c>
      <c r="S372" s="13" t="s">
        <v>15</v>
      </c>
      <c r="T372" s="13" t="s">
        <v>15</v>
      </c>
      <c r="U372" s="13" t="s">
        <v>15</v>
      </c>
      <c r="V372" s="13" t="s">
        <v>15</v>
      </c>
      <c r="W372" s="13" t="s">
        <v>15</v>
      </c>
      <c r="X372" s="13" t="s">
        <v>15</v>
      </c>
      <c r="Y372" s="13" t="s">
        <v>15</v>
      </c>
      <c r="Z372" s="13" t="s">
        <v>15</v>
      </c>
      <c r="AA372" s="13" t="s">
        <v>15</v>
      </c>
      <c r="AB372" s="13" t="s">
        <v>15</v>
      </c>
      <c r="AC372" s="13" t="s">
        <v>15</v>
      </c>
    </row>
    <row r="373" spans="1:29" s="38" customFormat="1" ht="87" customHeight="1" x14ac:dyDescent="0.25">
      <c r="A373" s="158" t="s">
        <v>25</v>
      </c>
      <c r="B373" s="87" t="s">
        <v>136</v>
      </c>
      <c r="C373" s="203" t="s">
        <v>4</v>
      </c>
      <c r="D373" s="203" t="s">
        <v>360</v>
      </c>
      <c r="E373" s="203" t="s">
        <v>360</v>
      </c>
      <c r="F373" s="206">
        <v>1470.3</v>
      </c>
      <c r="G373" s="206">
        <v>1357.2</v>
      </c>
      <c r="H373" s="206">
        <v>0</v>
      </c>
      <c r="I373" s="206">
        <v>1456.6</v>
      </c>
      <c r="J373" s="206">
        <v>1470.3</v>
      </c>
      <c r="K373" s="206">
        <v>1357.2</v>
      </c>
      <c r="L373" s="206">
        <v>0</v>
      </c>
      <c r="M373" s="206">
        <v>1456.6</v>
      </c>
      <c r="N373" s="206">
        <v>0</v>
      </c>
      <c r="O373" s="206">
        <v>0</v>
      </c>
      <c r="P373" s="206">
        <v>0</v>
      </c>
      <c r="Q373" s="206">
        <v>0</v>
      </c>
      <c r="R373" s="82" t="s">
        <v>15</v>
      </c>
      <c r="S373" s="82" t="s">
        <v>15</v>
      </c>
      <c r="T373" s="82" t="s">
        <v>15</v>
      </c>
      <c r="U373" s="82" t="s">
        <v>15</v>
      </c>
      <c r="V373" s="82" t="s">
        <v>15</v>
      </c>
      <c r="W373" s="82" t="s">
        <v>15</v>
      </c>
      <c r="X373" s="82" t="s">
        <v>15</v>
      </c>
      <c r="Y373" s="82" t="s">
        <v>15</v>
      </c>
      <c r="Z373" s="82" t="s">
        <v>15</v>
      </c>
      <c r="AA373" s="203" t="s">
        <v>365</v>
      </c>
      <c r="AB373" s="208" t="s">
        <v>697</v>
      </c>
      <c r="AC373" s="208" t="s">
        <v>15</v>
      </c>
    </row>
    <row r="374" spans="1:29" s="48" customFormat="1" ht="85.5" customHeight="1" x14ac:dyDescent="0.3">
      <c r="A374" s="24" t="s">
        <v>144</v>
      </c>
      <c r="B374" s="33" t="s">
        <v>142</v>
      </c>
      <c r="C374" s="29" t="s">
        <v>15</v>
      </c>
      <c r="D374" s="29" t="s">
        <v>15</v>
      </c>
      <c r="E374" s="29" t="s">
        <v>15</v>
      </c>
      <c r="F374" s="26">
        <f>F375</f>
        <v>137100</v>
      </c>
      <c r="G374" s="26">
        <f t="shared" ref="G374:Q374" si="122">G375</f>
        <v>45700</v>
      </c>
      <c r="H374" s="26">
        <f t="shared" si="122"/>
        <v>0</v>
      </c>
      <c r="I374" s="26">
        <f t="shared" si="122"/>
        <v>0</v>
      </c>
      <c r="J374" s="26">
        <f t="shared" si="122"/>
        <v>0</v>
      </c>
      <c r="K374" s="26">
        <f t="shared" si="122"/>
        <v>0</v>
      </c>
      <c r="L374" s="26">
        <f t="shared" si="122"/>
        <v>0</v>
      </c>
      <c r="M374" s="26">
        <f t="shared" si="122"/>
        <v>0</v>
      </c>
      <c r="N374" s="26">
        <f t="shared" si="122"/>
        <v>0</v>
      </c>
      <c r="O374" s="26">
        <f t="shared" si="122"/>
        <v>0</v>
      </c>
      <c r="P374" s="26">
        <f t="shared" si="122"/>
        <v>0</v>
      </c>
      <c r="Q374" s="26">
        <f t="shared" si="122"/>
        <v>0</v>
      </c>
      <c r="R374" s="29" t="s">
        <v>15</v>
      </c>
      <c r="S374" s="29" t="s">
        <v>15</v>
      </c>
      <c r="T374" s="29" t="s">
        <v>15</v>
      </c>
      <c r="U374" s="29" t="s">
        <v>15</v>
      </c>
      <c r="V374" s="29" t="s">
        <v>15</v>
      </c>
      <c r="W374" s="29" t="s">
        <v>15</v>
      </c>
      <c r="X374" s="29" t="s">
        <v>15</v>
      </c>
      <c r="Y374" s="29" t="s">
        <v>15</v>
      </c>
      <c r="Z374" s="29" t="s">
        <v>15</v>
      </c>
      <c r="AA374" s="29" t="s">
        <v>15</v>
      </c>
      <c r="AB374" s="29" t="s">
        <v>15</v>
      </c>
      <c r="AC374" s="29" t="s">
        <v>15</v>
      </c>
    </row>
    <row r="375" spans="1:29" s="22" customFormat="1" ht="72" customHeight="1" x14ac:dyDescent="0.25">
      <c r="A375" s="2" t="s">
        <v>1</v>
      </c>
      <c r="B375" s="4" t="s">
        <v>146</v>
      </c>
      <c r="C375" s="34" t="s">
        <v>15</v>
      </c>
      <c r="D375" s="34" t="s">
        <v>15</v>
      </c>
      <c r="E375" s="34" t="s">
        <v>15</v>
      </c>
      <c r="F375" s="8">
        <f>F376</f>
        <v>137100</v>
      </c>
      <c r="G375" s="8">
        <f t="shared" ref="G375:Q375" si="123">G376</f>
        <v>45700</v>
      </c>
      <c r="H375" s="8">
        <f t="shared" si="123"/>
        <v>0</v>
      </c>
      <c r="I375" s="8">
        <f t="shared" si="123"/>
        <v>0</v>
      </c>
      <c r="J375" s="8">
        <f t="shared" si="123"/>
        <v>0</v>
      </c>
      <c r="K375" s="8">
        <f t="shared" si="123"/>
        <v>0</v>
      </c>
      <c r="L375" s="8">
        <f t="shared" si="123"/>
        <v>0</v>
      </c>
      <c r="M375" s="8">
        <f t="shared" si="123"/>
        <v>0</v>
      </c>
      <c r="N375" s="8">
        <f t="shared" si="123"/>
        <v>0</v>
      </c>
      <c r="O375" s="8">
        <f t="shared" si="123"/>
        <v>0</v>
      </c>
      <c r="P375" s="8">
        <f t="shared" si="123"/>
        <v>0</v>
      </c>
      <c r="Q375" s="8">
        <f t="shared" si="123"/>
        <v>0</v>
      </c>
      <c r="R375" s="34" t="s">
        <v>15</v>
      </c>
      <c r="S375" s="34" t="s">
        <v>15</v>
      </c>
      <c r="T375" s="34" t="s">
        <v>15</v>
      </c>
      <c r="U375" s="34" t="s">
        <v>15</v>
      </c>
      <c r="V375" s="34" t="s">
        <v>15</v>
      </c>
      <c r="W375" s="34" t="s">
        <v>15</v>
      </c>
      <c r="X375" s="34" t="s">
        <v>15</v>
      </c>
      <c r="Y375" s="34" t="s">
        <v>15</v>
      </c>
      <c r="Z375" s="34" t="s">
        <v>15</v>
      </c>
      <c r="AA375" s="34" t="s">
        <v>15</v>
      </c>
      <c r="AB375" s="34" t="s">
        <v>15</v>
      </c>
      <c r="AC375" s="34" t="s">
        <v>15</v>
      </c>
    </row>
    <row r="376" spans="1:29" s="3" customFormat="1" ht="106.5" customHeight="1" x14ac:dyDescent="0.25">
      <c r="A376" s="141" t="s">
        <v>25</v>
      </c>
      <c r="B376" s="172" t="s">
        <v>137</v>
      </c>
      <c r="C376" s="205" t="s">
        <v>4</v>
      </c>
      <c r="D376" s="205" t="s">
        <v>360</v>
      </c>
      <c r="E376" s="205" t="s">
        <v>360</v>
      </c>
      <c r="F376" s="140">
        <v>137100</v>
      </c>
      <c r="G376" s="140">
        <v>45700</v>
      </c>
      <c r="H376" s="144">
        <v>0</v>
      </c>
      <c r="I376" s="144">
        <v>0</v>
      </c>
      <c r="J376" s="144">
        <v>0</v>
      </c>
      <c r="K376" s="144">
        <v>0</v>
      </c>
      <c r="L376" s="144">
        <v>0</v>
      </c>
      <c r="M376" s="144">
        <v>0</v>
      </c>
      <c r="N376" s="144">
        <v>0</v>
      </c>
      <c r="O376" s="144">
        <v>0</v>
      </c>
      <c r="P376" s="144">
        <v>0</v>
      </c>
      <c r="Q376" s="144">
        <v>0</v>
      </c>
      <c r="R376" s="208" t="s">
        <v>15</v>
      </c>
      <c r="S376" s="208" t="s">
        <v>15</v>
      </c>
      <c r="T376" s="208" t="s">
        <v>15</v>
      </c>
      <c r="U376" s="208" t="s">
        <v>15</v>
      </c>
      <c r="V376" s="208" t="s">
        <v>15</v>
      </c>
      <c r="W376" s="208" t="s">
        <v>15</v>
      </c>
      <c r="X376" s="208" t="s">
        <v>15</v>
      </c>
      <c r="Y376" s="208" t="s">
        <v>15</v>
      </c>
      <c r="Z376" s="208" t="s">
        <v>15</v>
      </c>
      <c r="AA376" s="205" t="s">
        <v>992</v>
      </c>
      <c r="AB376" s="205" t="s">
        <v>993</v>
      </c>
      <c r="AC376" s="205" t="s">
        <v>138</v>
      </c>
    </row>
    <row r="377" spans="1:29" s="48" customFormat="1" ht="63" customHeight="1" x14ac:dyDescent="0.3">
      <c r="A377" s="24" t="s">
        <v>143</v>
      </c>
      <c r="B377" s="33" t="s">
        <v>92</v>
      </c>
      <c r="C377" s="24" t="s">
        <v>15</v>
      </c>
      <c r="D377" s="24" t="s">
        <v>15</v>
      </c>
      <c r="E377" s="24" t="s">
        <v>15</v>
      </c>
      <c r="F377" s="26">
        <f>F378+F382</f>
        <v>191301.1</v>
      </c>
      <c r="G377" s="26">
        <f t="shared" ref="G377:Q377" si="124">G378+G382</f>
        <v>9001.8000000000011</v>
      </c>
      <c r="H377" s="26">
        <f t="shared" si="124"/>
        <v>0</v>
      </c>
      <c r="I377" s="26">
        <f t="shared" si="124"/>
        <v>0</v>
      </c>
      <c r="J377" s="26">
        <f t="shared" si="124"/>
        <v>783937.6</v>
      </c>
      <c r="K377" s="26">
        <f t="shared" si="124"/>
        <v>33695</v>
      </c>
      <c r="L377" s="26">
        <f t="shared" si="124"/>
        <v>0</v>
      </c>
      <c r="M377" s="26">
        <f t="shared" si="124"/>
        <v>0</v>
      </c>
      <c r="N377" s="26">
        <f t="shared" si="124"/>
        <v>0</v>
      </c>
      <c r="O377" s="26">
        <f t="shared" si="124"/>
        <v>0</v>
      </c>
      <c r="P377" s="26">
        <f t="shared" si="124"/>
        <v>0</v>
      </c>
      <c r="Q377" s="26">
        <f t="shared" si="124"/>
        <v>0</v>
      </c>
      <c r="R377" s="24" t="s">
        <v>15</v>
      </c>
      <c r="S377" s="24" t="s">
        <v>15</v>
      </c>
      <c r="T377" s="24" t="s">
        <v>15</v>
      </c>
      <c r="U377" s="24" t="s">
        <v>15</v>
      </c>
      <c r="V377" s="24" t="s">
        <v>15</v>
      </c>
      <c r="W377" s="24" t="s">
        <v>15</v>
      </c>
      <c r="X377" s="24" t="s">
        <v>15</v>
      </c>
      <c r="Y377" s="24" t="s">
        <v>15</v>
      </c>
      <c r="Z377" s="24" t="s">
        <v>15</v>
      </c>
      <c r="AA377" s="24" t="s">
        <v>15</v>
      </c>
      <c r="AB377" s="24" t="s">
        <v>15</v>
      </c>
      <c r="AC377" s="24" t="s">
        <v>15</v>
      </c>
    </row>
    <row r="378" spans="1:29" s="18" customFormat="1" ht="89.25" customHeight="1" x14ac:dyDescent="0.25">
      <c r="A378" s="5" t="s">
        <v>98</v>
      </c>
      <c r="B378" s="62" t="s">
        <v>99</v>
      </c>
      <c r="C378" s="5" t="s">
        <v>15</v>
      </c>
      <c r="D378" s="5" t="s">
        <v>15</v>
      </c>
      <c r="E378" s="5" t="s">
        <v>15</v>
      </c>
      <c r="F378" s="11">
        <f>F379</f>
        <v>187767</v>
      </c>
      <c r="G378" s="11">
        <f t="shared" ref="G378:Q378" si="125">G379</f>
        <v>7823.7000000000007</v>
      </c>
      <c r="H378" s="11">
        <f t="shared" si="125"/>
        <v>0</v>
      </c>
      <c r="I378" s="11">
        <f t="shared" si="125"/>
        <v>0</v>
      </c>
      <c r="J378" s="11">
        <f t="shared" si="125"/>
        <v>780403.5</v>
      </c>
      <c r="K378" s="11">
        <f t="shared" si="125"/>
        <v>32516.899999999998</v>
      </c>
      <c r="L378" s="11">
        <f t="shared" si="125"/>
        <v>0</v>
      </c>
      <c r="M378" s="11">
        <f t="shared" si="125"/>
        <v>0</v>
      </c>
      <c r="N378" s="11">
        <f t="shared" si="125"/>
        <v>0</v>
      </c>
      <c r="O378" s="11">
        <f t="shared" si="125"/>
        <v>0</v>
      </c>
      <c r="P378" s="11">
        <f t="shared" si="125"/>
        <v>0</v>
      </c>
      <c r="Q378" s="11">
        <f t="shared" si="125"/>
        <v>0</v>
      </c>
      <c r="R378" s="5" t="s">
        <v>15</v>
      </c>
      <c r="S378" s="5" t="s">
        <v>15</v>
      </c>
      <c r="T378" s="5" t="s">
        <v>15</v>
      </c>
      <c r="U378" s="5" t="s">
        <v>15</v>
      </c>
      <c r="V378" s="5" t="s">
        <v>15</v>
      </c>
      <c r="W378" s="5" t="s">
        <v>15</v>
      </c>
      <c r="X378" s="5" t="s">
        <v>15</v>
      </c>
      <c r="Y378" s="5" t="s">
        <v>15</v>
      </c>
      <c r="Z378" s="5" t="s">
        <v>15</v>
      </c>
      <c r="AA378" s="5" t="s">
        <v>15</v>
      </c>
      <c r="AB378" s="5" t="s">
        <v>15</v>
      </c>
      <c r="AC378" s="5" t="s">
        <v>15</v>
      </c>
    </row>
    <row r="379" spans="1:29" s="19" customFormat="1" ht="45" customHeight="1" x14ac:dyDescent="0.25">
      <c r="A379" s="9" t="s">
        <v>1</v>
      </c>
      <c r="B379" s="53" t="s">
        <v>97</v>
      </c>
      <c r="C379" s="9" t="s">
        <v>15</v>
      </c>
      <c r="D379" s="9" t="s">
        <v>15</v>
      </c>
      <c r="E379" s="9" t="s">
        <v>15</v>
      </c>
      <c r="F379" s="14">
        <f>F380+F381</f>
        <v>187767</v>
      </c>
      <c r="G379" s="14">
        <f t="shared" ref="G379:Q379" si="126">G380+G381</f>
        <v>7823.7000000000007</v>
      </c>
      <c r="H379" s="14">
        <f t="shared" si="126"/>
        <v>0</v>
      </c>
      <c r="I379" s="14">
        <f t="shared" si="126"/>
        <v>0</v>
      </c>
      <c r="J379" s="14">
        <f t="shared" si="126"/>
        <v>780403.5</v>
      </c>
      <c r="K379" s="14">
        <f t="shared" si="126"/>
        <v>32516.899999999998</v>
      </c>
      <c r="L379" s="14">
        <f t="shared" si="126"/>
        <v>0</v>
      </c>
      <c r="M379" s="14">
        <f t="shared" si="126"/>
        <v>0</v>
      </c>
      <c r="N379" s="14">
        <f t="shared" si="126"/>
        <v>0</v>
      </c>
      <c r="O379" s="14">
        <f t="shared" si="126"/>
        <v>0</v>
      </c>
      <c r="P379" s="14">
        <f t="shared" si="126"/>
        <v>0</v>
      </c>
      <c r="Q379" s="14">
        <f t="shared" si="126"/>
        <v>0</v>
      </c>
      <c r="R379" s="9" t="s">
        <v>15</v>
      </c>
      <c r="S379" s="9" t="s">
        <v>15</v>
      </c>
      <c r="T379" s="9" t="s">
        <v>15</v>
      </c>
      <c r="U379" s="9" t="s">
        <v>15</v>
      </c>
      <c r="V379" s="9" t="s">
        <v>15</v>
      </c>
      <c r="W379" s="9" t="s">
        <v>15</v>
      </c>
      <c r="X379" s="9" t="s">
        <v>15</v>
      </c>
      <c r="Y379" s="9" t="s">
        <v>15</v>
      </c>
      <c r="Z379" s="9" t="s">
        <v>15</v>
      </c>
      <c r="AA379" s="9" t="s">
        <v>15</v>
      </c>
      <c r="AB379" s="9" t="s">
        <v>15</v>
      </c>
      <c r="AC379" s="9" t="s">
        <v>15</v>
      </c>
    </row>
    <row r="380" spans="1:29" s="38" customFormat="1" ht="169.5" customHeight="1" x14ac:dyDescent="0.25">
      <c r="A380" s="158" t="s">
        <v>78</v>
      </c>
      <c r="B380" s="87" t="s">
        <v>100</v>
      </c>
      <c r="C380" s="203" t="s">
        <v>4</v>
      </c>
      <c r="D380" s="82" t="s">
        <v>690</v>
      </c>
      <c r="E380" s="82" t="s">
        <v>690</v>
      </c>
      <c r="F380" s="206">
        <v>16706.3</v>
      </c>
      <c r="G380" s="206">
        <v>696.1</v>
      </c>
      <c r="H380" s="206">
        <v>0</v>
      </c>
      <c r="I380" s="206">
        <v>0</v>
      </c>
      <c r="J380" s="206">
        <v>16706.3</v>
      </c>
      <c r="K380" s="206">
        <v>696.1</v>
      </c>
      <c r="L380" s="206">
        <v>0</v>
      </c>
      <c r="M380" s="206">
        <v>0</v>
      </c>
      <c r="N380" s="206">
        <v>0</v>
      </c>
      <c r="O380" s="206">
        <v>0</v>
      </c>
      <c r="P380" s="206">
        <v>0</v>
      </c>
      <c r="Q380" s="206">
        <v>0</v>
      </c>
      <c r="R380" s="82" t="s">
        <v>15</v>
      </c>
      <c r="S380" s="82" t="s">
        <v>15</v>
      </c>
      <c r="T380" s="82" t="s">
        <v>15</v>
      </c>
      <c r="U380" s="82" t="s">
        <v>15</v>
      </c>
      <c r="V380" s="82" t="s">
        <v>15</v>
      </c>
      <c r="W380" s="82" t="s">
        <v>15</v>
      </c>
      <c r="X380" s="82" t="s">
        <v>15</v>
      </c>
      <c r="Y380" s="82" t="s">
        <v>15</v>
      </c>
      <c r="Z380" s="82" t="s">
        <v>15</v>
      </c>
      <c r="AA380" s="203" t="s">
        <v>369</v>
      </c>
      <c r="AB380" s="203" t="s">
        <v>368</v>
      </c>
      <c r="AC380" s="203" t="s">
        <v>370</v>
      </c>
    </row>
    <row r="381" spans="1:29" s="3" customFormat="1" ht="147.75" customHeight="1" outlineLevel="1" x14ac:dyDescent="0.25">
      <c r="A381" s="193" t="s">
        <v>86</v>
      </c>
      <c r="B381" s="172" t="s">
        <v>180</v>
      </c>
      <c r="C381" s="205" t="s">
        <v>4</v>
      </c>
      <c r="D381" s="205" t="s">
        <v>591</v>
      </c>
      <c r="E381" s="205" t="s">
        <v>591</v>
      </c>
      <c r="F381" s="201">
        <v>171060.7</v>
      </c>
      <c r="G381" s="202">
        <v>7127.6</v>
      </c>
      <c r="H381" s="202">
        <v>0</v>
      </c>
      <c r="I381" s="202">
        <v>0</v>
      </c>
      <c r="J381" s="202">
        <v>763697.2</v>
      </c>
      <c r="K381" s="202">
        <v>31820.799999999999</v>
      </c>
      <c r="L381" s="202">
        <v>0</v>
      </c>
      <c r="M381" s="202">
        <v>0</v>
      </c>
      <c r="N381" s="202">
        <v>0</v>
      </c>
      <c r="O381" s="202">
        <v>0</v>
      </c>
      <c r="P381" s="202">
        <v>0</v>
      </c>
      <c r="Q381" s="202">
        <v>0</v>
      </c>
      <c r="R381" s="208" t="s">
        <v>15</v>
      </c>
      <c r="S381" s="208" t="s">
        <v>15</v>
      </c>
      <c r="T381" s="208" t="s">
        <v>15</v>
      </c>
      <c r="U381" s="208" t="s">
        <v>15</v>
      </c>
      <c r="V381" s="208" t="s">
        <v>15</v>
      </c>
      <c r="W381" s="208" t="s">
        <v>15</v>
      </c>
      <c r="X381" s="208" t="s">
        <v>15</v>
      </c>
      <c r="Y381" s="208" t="s">
        <v>15</v>
      </c>
      <c r="Z381" s="208" t="s">
        <v>15</v>
      </c>
      <c r="AA381" s="205" t="s">
        <v>181</v>
      </c>
      <c r="AB381" s="205" t="s">
        <v>715</v>
      </c>
      <c r="AC381" s="205" t="s">
        <v>687</v>
      </c>
    </row>
    <row r="382" spans="1:29" s="22" customFormat="1" ht="89.25" customHeight="1" x14ac:dyDescent="0.25">
      <c r="A382" s="2" t="s">
        <v>29</v>
      </c>
      <c r="B382" s="4" t="s">
        <v>108</v>
      </c>
      <c r="C382" s="9" t="s">
        <v>15</v>
      </c>
      <c r="D382" s="9" t="s">
        <v>15</v>
      </c>
      <c r="E382" s="9" t="s">
        <v>15</v>
      </c>
      <c r="F382" s="8">
        <f>F383</f>
        <v>3534.1</v>
      </c>
      <c r="G382" s="8">
        <f t="shared" ref="G382:Q382" si="127">G383</f>
        <v>1178.0999999999999</v>
      </c>
      <c r="H382" s="8">
        <f t="shared" si="127"/>
        <v>0</v>
      </c>
      <c r="I382" s="8">
        <f t="shared" si="127"/>
        <v>0</v>
      </c>
      <c r="J382" s="8">
        <f t="shared" si="127"/>
        <v>3534.1</v>
      </c>
      <c r="K382" s="8">
        <f t="shared" si="127"/>
        <v>1178.0999999999999</v>
      </c>
      <c r="L382" s="8">
        <f t="shared" si="127"/>
        <v>0</v>
      </c>
      <c r="M382" s="8">
        <f t="shared" si="127"/>
        <v>0</v>
      </c>
      <c r="N382" s="8">
        <f t="shared" si="127"/>
        <v>0</v>
      </c>
      <c r="O382" s="8">
        <f t="shared" si="127"/>
        <v>0</v>
      </c>
      <c r="P382" s="8">
        <f t="shared" si="127"/>
        <v>0</v>
      </c>
      <c r="Q382" s="8">
        <f t="shared" si="127"/>
        <v>0</v>
      </c>
      <c r="R382" s="9" t="s">
        <v>15</v>
      </c>
      <c r="S382" s="9" t="s">
        <v>15</v>
      </c>
      <c r="T382" s="9" t="s">
        <v>15</v>
      </c>
      <c r="U382" s="9" t="s">
        <v>15</v>
      </c>
      <c r="V382" s="9" t="s">
        <v>15</v>
      </c>
      <c r="W382" s="9" t="s">
        <v>15</v>
      </c>
      <c r="X382" s="9" t="s">
        <v>15</v>
      </c>
      <c r="Y382" s="9" t="s">
        <v>15</v>
      </c>
      <c r="Z382" s="9" t="s">
        <v>15</v>
      </c>
      <c r="AA382" s="9" t="s">
        <v>15</v>
      </c>
      <c r="AB382" s="9" t="s">
        <v>15</v>
      </c>
      <c r="AC382" s="9" t="s">
        <v>15</v>
      </c>
    </row>
    <row r="383" spans="1:29" s="38" customFormat="1" ht="309" customHeight="1" x14ac:dyDescent="0.25">
      <c r="A383" s="158" t="s">
        <v>48</v>
      </c>
      <c r="B383" s="87" t="s">
        <v>106</v>
      </c>
      <c r="C383" s="203" t="s">
        <v>107</v>
      </c>
      <c r="D383" s="203" t="s">
        <v>351</v>
      </c>
      <c r="E383" s="203" t="s">
        <v>351</v>
      </c>
      <c r="F383" s="206">
        <v>3534.1</v>
      </c>
      <c r="G383" s="83">
        <v>1178.0999999999999</v>
      </c>
      <c r="H383" s="206">
        <v>0</v>
      </c>
      <c r="I383" s="206">
        <v>0</v>
      </c>
      <c r="J383" s="206">
        <v>3534.1</v>
      </c>
      <c r="K383" s="83">
        <v>1178.0999999999999</v>
      </c>
      <c r="L383" s="206">
        <v>0</v>
      </c>
      <c r="M383" s="206">
        <v>0</v>
      </c>
      <c r="N383" s="206">
        <v>0</v>
      </c>
      <c r="O383" s="206">
        <v>0</v>
      </c>
      <c r="P383" s="206">
        <v>0</v>
      </c>
      <c r="Q383" s="206">
        <v>0</v>
      </c>
      <c r="R383" s="82" t="s">
        <v>15</v>
      </c>
      <c r="S383" s="82" t="s">
        <v>15</v>
      </c>
      <c r="T383" s="82" t="s">
        <v>15</v>
      </c>
      <c r="U383" s="82" t="s">
        <v>15</v>
      </c>
      <c r="V383" s="82" t="s">
        <v>15</v>
      </c>
      <c r="W383" s="82" t="s">
        <v>15</v>
      </c>
      <c r="X383" s="82" t="s">
        <v>15</v>
      </c>
      <c r="Y383" s="82" t="s">
        <v>15</v>
      </c>
      <c r="Z383" s="82" t="s">
        <v>15</v>
      </c>
      <c r="AA383" s="203" t="s">
        <v>349</v>
      </c>
      <c r="AB383" s="203" t="s">
        <v>348</v>
      </c>
      <c r="AC383" s="203" t="s">
        <v>350</v>
      </c>
    </row>
    <row r="384" spans="1:29" s="48" customFormat="1" ht="66" customHeight="1" x14ac:dyDescent="0.3">
      <c r="A384" s="24" t="s">
        <v>70</v>
      </c>
      <c r="B384" s="33" t="s">
        <v>308</v>
      </c>
      <c r="C384" s="24" t="s">
        <v>15</v>
      </c>
      <c r="D384" s="24" t="s">
        <v>15</v>
      </c>
      <c r="E384" s="24" t="s">
        <v>15</v>
      </c>
      <c r="F384" s="26">
        <f>F385+F388</f>
        <v>4563171.8000000007</v>
      </c>
      <c r="G384" s="26">
        <f t="shared" ref="G384:Q384" si="128">G385+G388</f>
        <v>142317.88333000001</v>
      </c>
      <c r="H384" s="26">
        <f t="shared" si="128"/>
        <v>0</v>
      </c>
      <c r="I384" s="26">
        <f t="shared" si="128"/>
        <v>0</v>
      </c>
      <c r="J384" s="26">
        <f t="shared" si="128"/>
        <v>4996669.9000000004</v>
      </c>
      <c r="K384" s="26">
        <f t="shared" si="128"/>
        <v>208194.57915999999</v>
      </c>
      <c r="L384" s="26">
        <f t="shared" si="128"/>
        <v>0</v>
      </c>
      <c r="M384" s="26">
        <f t="shared" si="128"/>
        <v>0</v>
      </c>
      <c r="N384" s="26">
        <f t="shared" si="128"/>
        <v>0</v>
      </c>
      <c r="O384" s="26">
        <f t="shared" si="128"/>
        <v>0</v>
      </c>
      <c r="P384" s="26">
        <f t="shared" si="128"/>
        <v>0</v>
      </c>
      <c r="Q384" s="26">
        <f t="shared" si="128"/>
        <v>0</v>
      </c>
      <c r="R384" s="24" t="s">
        <v>15</v>
      </c>
      <c r="S384" s="24" t="s">
        <v>15</v>
      </c>
      <c r="T384" s="24" t="s">
        <v>15</v>
      </c>
      <c r="U384" s="24" t="s">
        <v>15</v>
      </c>
      <c r="V384" s="24" t="s">
        <v>15</v>
      </c>
      <c r="W384" s="24" t="s">
        <v>15</v>
      </c>
      <c r="X384" s="24" t="s">
        <v>15</v>
      </c>
      <c r="Y384" s="24" t="s">
        <v>15</v>
      </c>
      <c r="Z384" s="24" t="s">
        <v>15</v>
      </c>
      <c r="AA384" s="24" t="s">
        <v>15</v>
      </c>
      <c r="AB384" s="24" t="s">
        <v>15</v>
      </c>
      <c r="AC384" s="24" t="s">
        <v>15</v>
      </c>
    </row>
    <row r="385" spans="1:29" s="42" customFormat="1" ht="42" customHeight="1" x14ac:dyDescent="0.25">
      <c r="A385" s="39" t="s">
        <v>2</v>
      </c>
      <c r="B385" s="55" t="s">
        <v>198</v>
      </c>
      <c r="C385" s="5" t="s">
        <v>15</v>
      </c>
      <c r="D385" s="5" t="s">
        <v>15</v>
      </c>
      <c r="E385" s="5" t="s">
        <v>15</v>
      </c>
      <c r="F385" s="11">
        <f>F386</f>
        <v>3415629.2</v>
      </c>
      <c r="G385" s="11">
        <f t="shared" ref="G385:Q386" si="129">G386</f>
        <v>142317.88333000001</v>
      </c>
      <c r="H385" s="11">
        <f t="shared" si="129"/>
        <v>0</v>
      </c>
      <c r="I385" s="11">
        <f t="shared" si="129"/>
        <v>0</v>
      </c>
      <c r="J385" s="11">
        <f t="shared" si="129"/>
        <v>4996669.9000000004</v>
      </c>
      <c r="K385" s="11">
        <f t="shared" si="129"/>
        <v>208194.57915999999</v>
      </c>
      <c r="L385" s="11">
        <f t="shared" si="129"/>
        <v>0</v>
      </c>
      <c r="M385" s="11">
        <f t="shared" si="129"/>
        <v>0</v>
      </c>
      <c r="N385" s="11">
        <f t="shared" si="129"/>
        <v>0</v>
      </c>
      <c r="O385" s="11">
        <f t="shared" si="129"/>
        <v>0</v>
      </c>
      <c r="P385" s="11">
        <f t="shared" si="129"/>
        <v>0</v>
      </c>
      <c r="Q385" s="11">
        <f t="shared" si="129"/>
        <v>0</v>
      </c>
      <c r="R385" s="5" t="s">
        <v>15</v>
      </c>
      <c r="S385" s="5" t="s">
        <v>15</v>
      </c>
      <c r="T385" s="5" t="s">
        <v>15</v>
      </c>
      <c r="U385" s="5" t="s">
        <v>15</v>
      </c>
      <c r="V385" s="5" t="s">
        <v>15</v>
      </c>
      <c r="W385" s="5" t="s">
        <v>15</v>
      </c>
      <c r="X385" s="5" t="s">
        <v>15</v>
      </c>
      <c r="Y385" s="5" t="s">
        <v>15</v>
      </c>
      <c r="Z385" s="5" t="s">
        <v>15</v>
      </c>
      <c r="AA385" s="5" t="s">
        <v>15</v>
      </c>
      <c r="AB385" s="5" t="s">
        <v>15</v>
      </c>
      <c r="AC385" s="5" t="s">
        <v>15</v>
      </c>
    </row>
    <row r="386" spans="1:29" s="43" customFormat="1" ht="53.25" customHeight="1" x14ac:dyDescent="0.25">
      <c r="A386" s="2" t="s">
        <v>1</v>
      </c>
      <c r="B386" s="4" t="s">
        <v>279</v>
      </c>
      <c r="C386" s="9" t="s">
        <v>15</v>
      </c>
      <c r="D386" s="9" t="s">
        <v>15</v>
      </c>
      <c r="E386" s="9" t="s">
        <v>15</v>
      </c>
      <c r="F386" s="8">
        <f>F387</f>
        <v>3415629.2</v>
      </c>
      <c r="G386" s="8">
        <f t="shared" si="129"/>
        <v>142317.88333000001</v>
      </c>
      <c r="H386" s="8">
        <f t="shared" si="129"/>
        <v>0</v>
      </c>
      <c r="I386" s="8">
        <f t="shared" si="129"/>
        <v>0</v>
      </c>
      <c r="J386" s="8">
        <f t="shared" si="129"/>
        <v>4996669.9000000004</v>
      </c>
      <c r="K386" s="8">
        <f t="shared" si="129"/>
        <v>208194.57915999999</v>
      </c>
      <c r="L386" s="8">
        <f t="shared" si="129"/>
        <v>0</v>
      </c>
      <c r="M386" s="8">
        <f t="shared" si="129"/>
        <v>0</v>
      </c>
      <c r="N386" s="8">
        <f t="shared" si="129"/>
        <v>0</v>
      </c>
      <c r="O386" s="8">
        <f t="shared" si="129"/>
        <v>0</v>
      </c>
      <c r="P386" s="8">
        <f t="shared" si="129"/>
        <v>0</v>
      </c>
      <c r="Q386" s="8">
        <f t="shared" si="129"/>
        <v>0</v>
      </c>
      <c r="R386" s="9" t="s">
        <v>15</v>
      </c>
      <c r="S386" s="9" t="s">
        <v>15</v>
      </c>
      <c r="T386" s="9" t="s">
        <v>15</v>
      </c>
      <c r="U386" s="9" t="s">
        <v>15</v>
      </c>
      <c r="V386" s="9" t="s">
        <v>15</v>
      </c>
      <c r="W386" s="9" t="s">
        <v>15</v>
      </c>
      <c r="X386" s="9" t="s">
        <v>15</v>
      </c>
      <c r="Y386" s="9" t="s">
        <v>15</v>
      </c>
      <c r="Z386" s="9" t="s">
        <v>15</v>
      </c>
      <c r="AA386" s="9" t="s">
        <v>15</v>
      </c>
      <c r="AB386" s="9" t="s">
        <v>15</v>
      </c>
      <c r="AC386" s="9" t="s">
        <v>15</v>
      </c>
    </row>
    <row r="387" spans="1:29" s="38" customFormat="1" ht="66.75" customHeight="1" x14ac:dyDescent="0.25">
      <c r="A387" s="158" t="s">
        <v>25</v>
      </c>
      <c r="B387" s="172" t="s">
        <v>200</v>
      </c>
      <c r="C387" s="203" t="s">
        <v>4</v>
      </c>
      <c r="D387" s="82" t="s">
        <v>443</v>
      </c>
      <c r="E387" s="82" t="s">
        <v>443</v>
      </c>
      <c r="F387" s="83">
        <v>3415629.2</v>
      </c>
      <c r="G387" s="83">
        <v>142317.88333000001</v>
      </c>
      <c r="H387" s="83">
        <v>0</v>
      </c>
      <c r="I387" s="83">
        <v>0</v>
      </c>
      <c r="J387" s="83">
        <v>4996669.9000000004</v>
      </c>
      <c r="K387" s="83">
        <v>208194.57915999999</v>
      </c>
      <c r="L387" s="83">
        <v>0</v>
      </c>
      <c r="M387" s="83">
        <v>0</v>
      </c>
      <c r="N387" s="83">
        <v>0</v>
      </c>
      <c r="O387" s="83">
        <v>0</v>
      </c>
      <c r="P387" s="83">
        <v>0</v>
      </c>
      <c r="Q387" s="83">
        <v>0</v>
      </c>
      <c r="R387" s="82">
        <v>2022</v>
      </c>
      <c r="S387" s="82">
        <v>2024</v>
      </c>
      <c r="T387" s="82" t="s">
        <v>15</v>
      </c>
      <c r="U387" s="82" t="s">
        <v>445</v>
      </c>
      <c r="V387" s="82" t="s">
        <v>445</v>
      </c>
      <c r="W387" s="82" t="s">
        <v>445</v>
      </c>
      <c r="X387" s="82" t="s">
        <v>445</v>
      </c>
      <c r="Y387" s="82">
        <v>2024</v>
      </c>
      <c r="Z387" s="82" t="s">
        <v>11</v>
      </c>
      <c r="AA387" s="82" t="s">
        <v>447</v>
      </c>
      <c r="AB387" s="82" t="s">
        <v>446</v>
      </c>
      <c r="AC387" s="82" t="s">
        <v>15</v>
      </c>
    </row>
    <row r="388" spans="1:29" s="43" customFormat="1" ht="98.25" customHeight="1" x14ac:dyDescent="0.25">
      <c r="A388" s="2" t="s">
        <v>8</v>
      </c>
      <c r="B388" s="4" t="s">
        <v>202</v>
      </c>
      <c r="C388" s="9" t="s">
        <v>15</v>
      </c>
      <c r="D388" s="9" t="s">
        <v>15</v>
      </c>
      <c r="E388" s="9" t="s">
        <v>15</v>
      </c>
      <c r="F388" s="8">
        <f>F389</f>
        <v>1147542.6000000001</v>
      </c>
      <c r="G388" s="8">
        <f t="shared" ref="G388:Q388" si="130">G389</f>
        <v>0</v>
      </c>
      <c r="H388" s="8">
        <f t="shared" si="130"/>
        <v>0</v>
      </c>
      <c r="I388" s="8">
        <f t="shared" si="130"/>
        <v>0</v>
      </c>
      <c r="J388" s="8">
        <f t="shared" si="130"/>
        <v>0</v>
      </c>
      <c r="K388" s="8">
        <f t="shared" si="130"/>
        <v>0</v>
      </c>
      <c r="L388" s="8">
        <f t="shared" si="130"/>
        <v>0</v>
      </c>
      <c r="M388" s="8">
        <f t="shared" si="130"/>
        <v>0</v>
      </c>
      <c r="N388" s="8">
        <f t="shared" si="130"/>
        <v>0</v>
      </c>
      <c r="O388" s="8">
        <f t="shared" si="130"/>
        <v>0</v>
      </c>
      <c r="P388" s="8">
        <f t="shared" si="130"/>
        <v>0</v>
      </c>
      <c r="Q388" s="8">
        <f t="shared" si="130"/>
        <v>0</v>
      </c>
      <c r="R388" s="9" t="s">
        <v>15</v>
      </c>
      <c r="S388" s="9" t="s">
        <v>15</v>
      </c>
      <c r="T388" s="9" t="s">
        <v>15</v>
      </c>
      <c r="U388" s="9" t="s">
        <v>15</v>
      </c>
      <c r="V388" s="9" t="s">
        <v>15</v>
      </c>
      <c r="W388" s="9" t="s">
        <v>15</v>
      </c>
      <c r="X388" s="9" t="s">
        <v>15</v>
      </c>
      <c r="Y388" s="9" t="s">
        <v>15</v>
      </c>
      <c r="Z388" s="9" t="s">
        <v>15</v>
      </c>
      <c r="AA388" s="9" t="s">
        <v>15</v>
      </c>
      <c r="AB388" s="9" t="s">
        <v>15</v>
      </c>
      <c r="AC388" s="9" t="s">
        <v>15</v>
      </c>
    </row>
    <row r="389" spans="1:29" s="38" customFormat="1" ht="76.5" customHeight="1" x14ac:dyDescent="0.25">
      <c r="A389" s="158" t="s">
        <v>48</v>
      </c>
      <c r="B389" s="172" t="s">
        <v>201</v>
      </c>
      <c r="C389" s="203" t="s">
        <v>113</v>
      </c>
      <c r="D389" s="82" t="s">
        <v>443</v>
      </c>
      <c r="E389" s="82" t="s">
        <v>443</v>
      </c>
      <c r="F389" s="83">
        <v>1147542.6000000001</v>
      </c>
      <c r="G389" s="83">
        <v>0</v>
      </c>
      <c r="H389" s="83">
        <v>0</v>
      </c>
      <c r="I389" s="83">
        <v>0</v>
      </c>
      <c r="J389" s="83">
        <v>0</v>
      </c>
      <c r="K389" s="83">
        <v>0</v>
      </c>
      <c r="L389" s="83">
        <v>0</v>
      </c>
      <c r="M389" s="83">
        <v>0</v>
      </c>
      <c r="N389" s="83">
        <v>0</v>
      </c>
      <c r="O389" s="83">
        <v>0</v>
      </c>
      <c r="P389" s="83">
        <v>0</v>
      </c>
      <c r="Q389" s="83">
        <v>0</v>
      </c>
      <c r="R389" s="82">
        <v>2022</v>
      </c>
      <c r="S389" s="82">
        <v>2023</v>
      </c>
      <c r="T389" s="82" t="s">
        <v>15</v>
      </c>
      <c r="U389" s="82" t="s">
        <v>445</v>
      </c>
      <c r="V389" s="82" t="s">
        <v>445</v>
      </c>
      <c r="W389" s="82" t="s">
        <v>445</v>
      </c>
      <c r="X389" s="82" t="s">
        <v>445</v>
      </c>
      <c r="Y389" s="82">
        <v>2023</v>
      </c>
      <c r="Z389" s="82" t="s">
        <v>11</v>
      </c>
      <c r="AA389" s="82" t="s">
        <v>448</v>
      </c>
      <c r="AB389" s="82" t="s">
        <v>446</v>
      </c>
      <c r="AC389" s="82" t="s">
        <v>15</v>
      </c>
    </row>
    <row r="390" spans="1:29" s="48" customFormat="1" ht="122.25" customHeight="1" x14ac:dyDescent="0.3">
      <c r="A390" s="24" t="s">
        <v>199</v>
      </c>
      <c r="B390" s="33" t="s">
        <v>245</v>
      </c>
      <c r="C390" s="25" t="s">
        <v>77</v>
      </c>
      <c r="D390" s="25" t="s">
        <v>77</v>
      </c>
      <c r="E390" s="25" t="s">
        <v>77</v>
      </c>
      <c r="F390" s="26">
        <f>F391+F394+F396+F413+F415</f>
        <v>1045712.1000000001</v>
      </c>
      <c r="G390" s="26">
        <f t="shared" ref="G390:Q390" si="131">G391+G394+G396+G413+G415</f>
        <v>194525.52000000002</v>
      </c>
      <c r="H390" s="26">
        <f t="shared" si="131"/>
        <v>0</v>
      </c>
      <c r="I390" s="26">
        <f t="shared" si="131"/>
        <v>0</v>
      </c>
      <c r="J390" s="26">
        <f t="shared" si="131"/>
        <v>1035315.4</v>
      </c>
      <c r="K390" s="26">
        <f t="shared" si="131"/>
        <v>181484.01766999997</v>
      </c>
      <c r="L390" s="26">
        <f t="shared" si="131"/>
        <v>0</v>
      </c>
      <c r="M390" s="26">
        <f t="shared" si="131"/>
        <v>0</v>
      </c>
      <c r="N390" s="26">
        <f t="shared" si="131"/>
        <v>0</v>
      </c>
      <c r="O390" s="26">
        <f t="shared" si="131"/>
        <v>0</v>
      </c>
      <c r="P390" s="26">
        <f t="shared" si="131"/>
        <v>0</v>
      </c>
      <c r="Q390" s="26">
        <f t="shared" si="131"/>
        <v>0</v>
      </c>
      <c r="R390" s="25" t="s">
        <v>77</v>
      </c>
      <c r="S390" s="25" t="s">
        <v>77</v>
      </c>
      <c r="T390" s="24" t="s">
        <v>15</v>
      </c>
      <c r="U390" s="25" t="s">
        <v>77</v>
      </c>
      <c r="V390" s="25" t="s">
        <v>77</v>
      </c>
      <c r="W390" s="25" t="s">
        <v>77</v>
      </c>
      <c r="X390" s="25" t="s">
        <v>77</v>
      </c>
      <c r="Y390" s="25" t="s">
        <v>77</v>
      </c>
      <c r="Z390" s="25" t="s">
        <v>77</v>
      </c>
      <c r="AA390" s="25" t="s">
        <v>77</v>
      </c>
      <c r="AB390" s="25" t="s">
        <v>77</v>
      </c>
      <c r="AC390" s="25" t="s">
        <v>77</v>
      </c>
    </row>
    <row r="391" spans="1:29" s="42" customFormat="1" ht="75.75" customHeight="1" x14ac:dyDescent="0.25">
      <c r="A391" s="51" t="s">
        <v>2</v>
      </c>
      <c r="B391" s="55" t="s">
        <v>140</v>
      </c>
      <c r="C391" s="15" t="s">
        <v>77</v>
      </c>
      <c r="D391" s="15" t="s">
        <v>77</v>
      </c>
      <c r="E391" s="15" t="s">
        <v>77</v>
      </c>
      <c r="F391" s="11">
        <f>F392</f>
        <v>92856</v>
      </c>
      <c r="G391" s="11">
        <f t="shared" ref="G391:Q391" si="132">G392</f>
        <v>3869</v>
      </c>
      <c r="H391" s="11">
        <f t="shared" si="132"/>
        <v>0</v>
      </c>
      <c r="I391" s="11">
        <f t="shared" si="132"/>
        <v>0</v>
      </c>
      <c r="J391" s="11">
        <f t="shared" si="132"/>
        <v>136890</v>
      </c>
      <c r="K391" s="11">
        <f t="shared" si="132"/>
        <v>5703.7509999999893</v>
      </c>
      <c r="L391" s="11">
        <f t="shared" si="132"/>
        <v>0</v>
      </c>
      <c r="M391" s="11">
        <f t="shared" si="132"/>
        <v>0</v>
      </c>
      <c r="N391" s="11">
        <f t="shared" si="132"/>
        <v>0</v>
      </c>
      <c r="O391" s="11">
        <f t="shared" si="132"/>
        <v>0</v>
      </c>
      <c r="P391" s="11">
        <f t="shared" si="132"/>
        <v>0</v>
      </c>
      <c r="Q391" s="11">
        <f t="shared" si="132"/>
        <v>0</v>
      </c>
      <c r="R391" s="15" t="s">
        <v>77</v>
      </c>
      <c r="S391" s="15" t="s">
        <v>77</v>
      </c>
      <c r="T391" s="5" t="s">
        <v>15</v>
      </c>
      <c r="U391" s="15" t="s">
        <v>77</v>
      </c>
      <c r="V391" s="15" t="s">
        <v>77</v>
      </c>
      <c r="W391" s="15" t="s">
        <v>77</v>
      </c>
      <c r="X391" s="15" t="s">
        <v>77</v>
      </c>
      <c r="Y391" s="15" t="s">
        <v>77</v>
      </c>
      <c r="Z391" s="15" t="s">
        <v>77</v>
      </c>
      <c r="AA391" s="15" t="s">
        <v>77</v>
      </c>
      <c r="AB391" s="15" t="s">
        <v>77</v>
      </c>
      <c r="AC391" s="15" t="s">
        <v>77</v>
      </c>
    </row>
    <row r="392" spans="1:29" s="43" customFormat="1" ht="70.5" customHeight="1" x14ac:dyDescent="0.25">
      <c r="A392" s="9" t="s">
        <v>1</v>
      </c>
      <c r="B392" s="4" t="s">
        <v>277</v>
      </c>
      <c r="C392" s="16" t="s">
        <v>77</v>
      </c>
      <c r="D392" s="16" t="s">
        <v>77</v>
      </c>
      <c r="E392" s="16" t="s">
        <v>77</v>
      </c>
      <c r="F392" s="8">
        <f>F393</f>
        <v>92856</v>
      </c>
      <c r="G392" s="8">
        <f t="shared" ref="G392:Q392" si="133">G393</f>
        <v>3869</v>
      </c>
      <c r="H392" s="8">
        <f t="shared" si="133"/>
        <v>0</v>
      </c>
      <c r="I392" s="8">
        <f t="shared" si="133"/>
        <v>0</v>
      </c>
      <c r="J392" s="8">
        <f t="shared" si="133"/>
        <v>136890</v>
      </c>
      <c r="K392" s="8">
        <f t="shared" si="133"/>
        <v>5703.7509999999893</v>
      </c>
      <c r="L392" s="8">
        <f t="shared" si="133"/>
        <v>0</v>
      </c>
      <c r="M392" s="8">
        <f t="shared" si="133"/>
        <v>0</v>
      </c>
      <c r="N392" s="8">
        <f t="shared" si="133"/>
        <v>0</v>
      </c>
      <c r="O392" s="8">
        <f t="shared" si="133"/>
        <v>0</v>
      </c>
      <c r="P392" s="8">
        <f t="shared" si="133"/>
        <v>0</v>
      </c>
      <c r="Q392" s="8">
        <f t="shared" si="133"/>
        <v>0</v>
      </c>
      <c r="R392" s="16" t="s">
        <v>77</v>
      </c>
      <c r="S392" s="16" t="s">
        <v>77</v>
      </c>
      <c r="T392" s="9" t="s">
        <v>15</v>
      </c>
      <c r="U392" s="16" t="s">
        <v>77</v>
      </c>
      <c r="V392" s="16" t="s">
        <v>77</v>
      </c>
      <c r="W392" s="16" t="s">
        <v>77</v>
      </c>
      <c r="X392" s="16" t="s">
        <v>77</v>
      </c>
      <c r="Y392" s="16" t="s">
        <v>77</v>
      </c>
      <c r="Z392" s="16" t="s">
        <v>77</v>
      </c>
      <c r="AA392" s="16" t="s">
        <v>77</v>
      </c>
      <c r="AB392" s="16" t="s">
        <v>77</v>
      </c>
      <c r="AC392" s="16" t="s">
        <v>77</v>
      </c>
    </row>
    <row r="393" spans="1:29" s="38" customFormat="1" ht="126" x14ac:dyDescent="0.25">
      <c r="A393" s="158" t="s">
        <v>25</v>
      </c>
      <c r="B393" s="87" t="s">
        <v>211</v>
      </c>
      <c r="C393" s="203" t="s">
        <v>4</v>
      </c>
      <c r="D393" s="203" t="s">
        <v>353</v>
      </c>
      <c r="E393" s="203" t="s">
        <v>353</v>
      </c>
      <c r="F393" s="206">
        <v>92856</v>
      </c>
      <c r="G393" s="206">
        <v>3869</v>
      </c>
      <c r="H393" s="206">
        <v>0</v>
      </c>
      <c r="I393" s="206">
        <v>0</v>
      </c>
      <c r="J393" s="206">
        <v>136890</v>
      </c>
      <c r="K393" s="206">
        <v>5703.7509999999893</v>
      </c>
      <c r="L393" s="206">
        <v>0</v>
      </c>
      <c r="M393" s="206">
        <v>0</v>
      </c>
      <c r="N393" s="206">
        <v>0</v>
      </c>
      <c r="O393" s="206">
        <v>0</v>
      </c>
      <c r="P393" s="206">
        <v>0</v>
      </c>
      <c r="Q393" s="206">
        <v>0</v>
      </c>
      <c r="R393" s="203" t="s">
        <v>77</v>
      </c>
      <c r="S393" s="203" t="s">
        <v>77</v>
      </c>
      <c r="T393" s="82" t="s">
        <v>15</v>
      </c>
      <c r="U393" s="203" t="s">
        <v>77</v>
      </c>
      <c r="V393" s="203" t="s">
        <v>77</v>
      </c>
      <c r="W393" s="203" t="s">
        <v>77</v>
      </c>
      <c r="X393" s="203" t="s">
        <v>77</v>
      </c>
      <c r="Y393" s="203" t="s">
        <v>77</v>
      </c>
      <c r="Z393" s="203" t="s">
        <v>77</v>
      </c>
      <c r="AA393" s="203" t="s">
        <v>208</v>
      </c>
      <c r="AB393" s="203" t="s">
        <v>209</v>
      </c>
      <c r="AC393" s="203" t="s">
        <v>481</v>
      </c>
    </row>
    <row r="394" spans="1:29" s="43" customFormat="1" ht="93" customHeight="1" x14ac:dyDescent="0.25">
      <c r="A394" s="2" t="s">
        <v>8</v>
      </c>
      <c r="B394" s="4" t="s">
        <v>227</v>
      </c>
      <c r="C394" s="16" t="s">
        <v>77</v>
      </c>
      <c r="D394" s="16" t="s">
        <v>77</v>
      </c>
      <c r="E394" s="16" t="s">
        <v>77</v>
      </c>
      <c r="F394" s="8">
        <f>F395</f>
        <v>0</v>
      </c>
      <c r="G394" s="8">
        <f t="shared" ref="G394:Q394" si="134">G395</f>
        <v>0</v>
      </c>
      <c r="H394" s="8">
        <f t="shared" si="134"/>
        <v>0</v>
      </c>
      <c r="I394" s="8">
        <f t="shared" si="134"/>
        <v>0</v>
      </c>
      <c r="J394" s="8">
        <f t="shared" si="134"/>
        <v>0</v>
      </c>
      <c r="K394" s="8">
        <f t="shared" si="134"/>
        <v>0</v>
      </c>
      <c r="L394" s="8">
        <f t="shared" si="134"/>
        <v>0</v>
      </c>
      <c r="M394" s="8">
        <f t="shared" si="134"/>
        <v>0</v>
      </c>
      <c r="N394" s="8">
        <f t="shared" si="134"/>
        <v>0</v>
      </c>
      <c r="O394" s="8">
        <f t="shared" si="134"/>
        <v>0</v>
      </c>
      <c r="P394" s="8">
        <f t="shared" si="134"/>
        <v>0</v>
      </c>
      <c r="Q394" s="8">
        <f t="shared" si="134"/>
        <v>0</v>
      </c>
      <c r="R394" s="16" t="s">
        <v>77</v>
      </c>
      <c r="S394" s="16" t="s">
        <v>77</v>
      </c>
      <c r="T394" s="16" t="s">
        <v>77</v>
      </c>
      <c r="U394" s="16" t="s">
        <v>77</v>
      </c>
      <c r="V394" s="16" t="s">
        <v>77</v>
      </c>
      <c r="W394" s="16" t="s">
        <v>77</v>
      </c>
      <c r="X394" s="16" t="s">
        <v>77</v>
      </c>
      <c r="Y394" s="16" t="s">
        <v>77</v>
      </c>
      <c r="Z394" s="16" t="s">
        <v>77</v>
      </c>
      <c r="AA394" s="16" t="s">
        <v>77</v>
      </c>
      <c r="AB394" s="16" t="s">
        <v>77</v>
      </c>
      <c r="AC394" s="16" t="s">
        <v>77</v>
      </c>
    </row>
    <row r="395" spans="1:29" s="3" customFormat="1" ht="158.25" customHeight="1" x14ac:dyDescent="0.25">
      <c r="A395" s="141" t="s">
        <v>48</v>
      </c>
      <c r="B395" s="172" t="s">
        <v>232</v>
      </c>
      <c r="C395" s="205" t="s">
        <v>229</v>
      </c>
      <c r="D395" s="205" t="s">
        <v>353</v>
      </c>
      <c r="E395" s="205" t="s">
        <v>353</v>
      </c>
      <c r="F395" s="144">
        <v>0</v>
      </c>
      <c r="G395" s="144">
        <v>0</v>
      </c>
      <c r="H395" s="144">
        <v>0</v>
      </c>
      <c r="I395" s="144">
        <v>0</v>
      </c>
      <c r="J395" s="144">
        <v>0</v>
      </c>
      <c r="K395" s="144">
        <v>0</v>
      </c>
      <c r="L395" s="144">
        <v>0</v>
      </c>
      <c r="M395" s="144">
        <v>0</v>
      </c>
      <c r="N395" s="144">
        <v>0</v>
      </c>
      <c r="O395" s="144">
        <v>0</v>
      </c>
      <c r="P395" s="144">
        <v>0</v>
      </c>
      <c r="Q395" s="144">
        <v>0</v>
      </c>
      <c r="R395" s="190" t="s">
        <v>77</v>
      </c>
      <c r="S395" s="190" t="s">
        <v>77</v>
      </c>
      <c r="T395" s="82" t="s">
        <v>15</v>
      </c>
      <c r="U395" s="190" t="s">
        <v>77</v>
      </c>
      <c r="V395" s="190" t="s">
        <v>77</v>
      </c>
      <c r="W395" s="190" t="s">
        <v>77</v>
      </c>
      <c r="X395" s="190" t="s">
        <v>77</v>
      </c>
      <c r="Y395" s="190" t="s">
        <v>77</v>
      </c>
      <c r="Z395" s="190" t="s">
        <v>77</v>
      </c>
      <c r="AA395" s="205" t="s">
        <v>1047</v>
      </c>
      <c r="AB395" s="205" t="s">
        <v>510</v>
      </c>
      <c r="AC395" s="205" t="s">
        <v>1048</v>
      </c>
    </row>
    <row r="396" spans="1:29" s="43" customFormat="1" ht="84.75" customHeight="1" x14ac:dyDescent="0.25">
      <c r="A396" s="2" t="s">
        <v>42</v>
      </c>
      <c r="B396" s="4" t="s">
        <v>322</v>
      </c>
      <c r="C396" s="16" t="s">
        <v>77</v>
      </c>
      <c r="D396" s="16" t="s">
        <v>77</v>
      </c>
      <c r="E396" s="16" t="s">
        <v>77</v>
      </c>
      <c r="F396" s="8">
        <f>F397+F404+F412</f>
        <v>510056.9</v>
      </c>
      <c r="G396" s="8">
        <f t="shared" ref="G396:Q396" si="135">G397+G404+G412</f>
        <v>170019</v>
      </c>
      <c r="H396" s="8">
        <f t="shared" si="135"/>
        <v>0</v>
      </c>
      <c r="I396" s="8">
        <f t="shared" si="135"/>
        <v>0</v>
      </c>
      <c r="J396" s="8">
        <f t="shared" si="135"/>
        <v>460828.4</v>
      </c>
      <c r="K396" s="8">
        <f t="shared" si="135"/>
        <v>153609.46666999999</v>
      </c>
      <c r="L396" s="8">
        <f t="shared" si="135"/>
        <v>0</v>
      </c>
      <c r="M396" s="8">
        <f t="shared" si="135"/>
        <v>0</v>
      </c>
      <c r="N396" s="8">
        <f t="shared" si="135"/>
        <v>0</v>
      </c>
      <c r="O396" s="8">
        <f t="shared" si="135"/>
        <v>0</v>
      </c>
      <c r="P396" s="8">
        <f t="shared" si="135"/>
        <v>0</v>
      </c>
      <c r="Q396" s="8">
        <f t="shared" si="135"/>
        <v>0</v>
      </c>
      <c r="R396" s="16" t="s">
        <v>77</v>
      </c>
      <c r="S396" s="16" t="s">
        <v>77</v>
      </c>
      <c r="T396" s="16" t="s">
        <v>77</v>
      </c>
      <c r="U396" s="16" t="s">
        <v>77</v>
      </c>
      <c r="V396" s="16" t="s">
        <v>77</v>
      </c>
      <c r="W396" s="16" t="s">
        <v>77</v>
      </c>
      <c r="X396" s="16" t="s">
        <v>77</v>
      </c>
      <c r="Y396" s="16" t="s">
        <v>77</v>
      </c>
      <c r="Z396" s="16" t="s">
        <v>77</v>
      </c>
      <c r="AA396" s="16" t="s">
        <v>77</v>
      </c>
      <c r="AB396" s="16" t="s">
        <v>77</v>
      </c>
      <c r="AC396" s="16" t="s">
        <v>77</v>
      </c>
    </row>
    <row r="397" spans="1:29" s="38" customFormat="1" ht="133.5" customHeight="1" x14ac:dyDescent="0.25">
      <c r="A397" s="158" t="s">
        <v>50</v>
      </c>
      <c r="B397" s="87" t="s">
        <v>1051</v>
      </c>
      <c r="C397" s="203" t="s">
        <v>4</v>
      </c>
      <c r="D397" s="203" t="s">
        <v>353</v>
      </c>
      <c r="E397" s="203" t="s">
        <v>353</v>
      </c>
      <c r="F397" s="206">
        <f>F398+F399+F400+F401+F402+F403</f>
        <v>289483</v>
      </c>
      <c r="G397" s="206">
        <f t="shared" ref="G397:Q397" si="136">G398+G399+G400+G401+G402+G403</f>
        <v>96494.333329999994</v>
      </c>
      <c r="H397" s="206">
        <f t="shared" si="136"/>
        <v>0</v>
      </c>
      <c r="I397" s="206">
        <f t="shared" si="136"/>
        <v>0</v>
      </c>
      <c r="J397" s="206">
        <f t="shared" si="136"/>
        <v>287343.2</v>
      </c>
      <c r="K397" s="206">
        <f t="shared" si="136"/>
        <v>95781.06667</v>
      </c>
      <c r="L397" s="206">
        <f t="shared" si="136"/>
        <v>0</v>
      </c>
      <c r="M397" s="206">
        <f t="shared" si="136"/>
        <v>0</v>
      </c>
      <c r="N397" s="206">
        <f t="shared" si="136"/>
        <v>0</v>
      </c>
      <c r="O397" s="206">
        <f t="shared" si="136"/>
        <v>0</v>
      </c>
      <c r="P397" s="206">
        <f t="shared" si="136"/>
        <v>0</v>
      </c>
      <c r="Q397" s="206">
        <f t="shared" si="136"/>
        <v>0</v>
      </c>
      <c r="R397" s="203" t="s">
        <v>77</v>
      </c>
      <c r="S397" s="203" t="s">
        <v>77</v>
      </c>
      <c r="T397" s="82" t="s">
        <v>15</v>
      </c>
      <c r="U397" s="203" t="s">
        <v>77</v>
      </c>
      <c r="V397" s="203" t="s">
        <v>77</v>
      </c>
      <c r="W397" s="203" t="s">
        <v>77</v>
      </c>
      <c r="X397" s="203" t="s">
        <v>77</v>
      </c>
      <c r="Y397" s="203" t="s">
        <v>77</v>
      </c>
      <c r="Z397" s="203" t="s">
        <v>77</v>
      </c>
      <c r="AA397" s="203" t="s">
        <v>210</v>
      </c>
      <c r="AB397" s="203" t="s">
        <v>482</v>
      </c>
      <c r="AC397" s="203" t="s">
        <v>490</v>
      </c>
    </row>
    <row r="398" spans="1:29" s="78" customFormat="1" ht="99.75" customHeight="1" x14ac:dyDescent="0.25">
      <c r="A398" s="158" t="s">
        <v>57</v>
      </c>
      <c r="B398" s="101" t="s">
        <v>483</v>
      </c>
      <c r="C398" s="203" t="s">
        <v>4</v>
      </c>
      <c r="D398" s="203" t="s">
        <v>353</v>
      </c>
      <c r="E398" s="203" t="s">
        <v>353</v>
      </c>
      <c r="F398" s="206">
        <v>166.4</v>
      </c>
      <c r="G398" s="206">
        <v>55.473750000000003</v>
      </c>
      <c r="H398" s="206">
        <v>0</v>
      </c>
      <c r="I398" s="206">
        <v>0</v>
      </c>
      <c r="J398" s="206">
        <v>166.4</v>
      </c>
      <c r="K398" s="206">
        <v>55.473750000000003</v>
      </c>
      <c r="L398" s="206">
        <v>0</v>
      </c>
      <c r="M398" s="206">
        <v>0</v>
      </c>
      <c r="N398" s="206">
        <v>0</v>
      </c>
      <c r="O398" s="206">
        <v>0</v>
      </c>
      <c r="P398" s="206">
        <v>0</v>
      </c>
      <c r="Q398" s="206">
        <v>0</v>
      </c>
      <c r="R398" s="203" t="s">
        <v>77</v>
      </c>
      <c r="S398" s="203" t="s">
        <v>77</v>
      </c>
      <c r="T398" s="82" t="s">
        <v>15</v>
      </c>
      <c r="U398" s="203" t="s">
        <v>77</v>
      </c>
      <c r="V398" s="203" t="s">
        <v>77</v>
      </c>
      <c r="W398" s="203" t="s">
        <v>77</v>
      </c>
      <c r="X398" s="203" t="s">
        <v>77</v>
      </c>
      <c r="Y398" s="203" t="s">
        <v>77</v>
      </c>
      <c r="Z398" s="203" t="s">
        <v>77</v>
      </c>
      <c r="AA398" s="203" t="s">
        <v>77</v>
      </c>
      <c r="AB398" s="203" t="s">
        <v>77</v>
      </c>
      <c r="AC398" s="203" t="s">
        <v>77</v>
      </c>
    </row>
    <row r="399" spans="1:29" s="78" customFormat="1" ht="90" customHeight="1" x14ac:dyDescent="0.25">
      <c r="A399" s="158" t="s">
        <v>58</v>
      </c>
      <c r="B399" s="101" t="s">
        <v>484</v>
      </c>
      <c r="C399" s="203" t="s">
        <v>4</v>
      </c>
      <c r="D399" s="203" t="s">
        <v>353</v>
      </c>
      <c r="E399" s="203" t="s">
        <v>353</v>
      </c>
      <c r="F399" s="206">
        <v>5469.9</v>
      </c>
      <c r="G399" s="206">
        <v>1823.3</v>
      </c>
      <c r="H399" s="206">
        <v>0</v>
      </c>
      <c r="I399" s="206">
        <v>0</v>
      </c>
      <c r="J399" s="206">
        <v>5469.9</v>
      </c>
      <c r="K399" s="206">
        <v>1823.3</v>
      </c>
      <c r="L399" s="206">
        <v>0</v>
      </c>
      <c r="M399" s="206">
        <v>0</v>
      </c>
      <c r="N399" s="206">
        <v>0</v>
      </c>
      <c r="O399" s="206">
        <v>0</v>
      </c>
      <c r="P399" s="206">
        <v>0</v>
      </c>
      <c r="Q399" s="206">
        <v>0</v>
      </c>
      <c r="R399" s="203" t="s">
        <v>77</v>
      </c>
      <c r="S399" s="203" t="s">
        <v>77</v>
      </c>
      <c r="T399" s="82" t="s">
        <v>15</v>
      </c>
      <c r="U399" s="203" t="s">
        <v>77</v>
      </c>
      <c r="V399" s="203" t="s">
        <v>77</v>
      </c>
      <c r="W399" s="203" t="s">
        <v>77</v>
      </c>
      <c r="X399" s="203" t="s">
        <v>77</v>
      </c>
      <c r="Y399" s="203" t="s">
        <v>77</v>
      </c>
      <c r="Z399" s="203" t="s">
        <v>77</v>
      </c>
      <c r="AA399" s="203" t="s">
        <v>77</v>
      </c>
      <c r="AB399" s="203" t="s">
        <v>77</v>
      </c>
      <c r="AC399" s="203" t="s">
        <v>77</v>
      </c>
    </row>
    <row r="400" spans="1:29" s="78" customFormat="1" ht="70.5" customHeight="1" x14ac:dyDescent="0.25">
      <c r="A400" s="158" t="s">
        <v>59</v>
      </c>
      <c r="B400" s="101" t="s">
        <v>485</v>
      </c>
      <c r="C400" s="203" t="s">
        <v>4</v>
      </c>
      <c r="D400" s="203" t="s">
        <v>353</v>
      </c>
      <c r="E400" s="203" t="s">
        <v>353</v>
      </c>
      <c r="F400" s="206">
        <v>111266.5</v>
      </c>
      <c r="G400" s="206">
        <v>37088.821250000001</v>
      </c>
      <c r="H400" s="206">
        <v>0</v>
      </c>
      <c r="I400" s="206">
        <v>0</v>
      </c>
      <c r="J400" s="206">
        <v>110816.5</v>
      </c>
      <c r="K400" s="206">
        <v>36938.821250000001</v>
      </c>
      <c r="L400" s="206">
        <v>0</v>
      </c>
      <c r="M400" s="206">
        <v>0</v>
      </c>
      <c r="N400" s="206">
        <v>0</v>
      </c>
      <c r="O400" s="206">
        <v>0</v>
      </c>
      <c r="P400" s="206">
        <v>0</v>
      </c>
      <c r="Q400" s="206">
        <v>0</v>
      </c>
      <c r="R400" s="203" t="s">
        <v>77</v>
      </c>
      <c r="S400" s="203" t="s">
        <v>77</v>
      </c>
      <c r="T400" s="82" t="s">
        <v>15</v>
      </c>
      <c r="U400" s="203" t="s">
        <v>77</v>
      </c>
      <c r="V400" s="203" t="s">
        <v>77</v>
      </c>
      <c r="W400" s="203" t="s">
        <v>77</v>
      </c>
      <c r="X400" s="203" t="s">
        <v>77</v>
      </c>
      <c r="Y400" s="203" t="s">
        <v>77</v>
      </c>
      <c r="Z400" s="203" t="s">
        <v>77</v>
      </c>
      <c r="AA400" s="203" t="s">
        <v>77</v>
      </c>
      <c r="AB400" s="203" t="s">
        <v>77</v>
      </c>
      <c r="AC400" s="203" t="s">
        <v>77</v>
      </c>
    </row>
    <row r="401" spans="1:29" s="78" customFormat="1" ht="73.5" customHeight="1" x14ac:dyDescent="0.25">
      <c r="A401" s="158" t="s">
        <v>295</v>
      </c>
      <c r="B401" s="101" t="s">
        <v>486</v>
      </c>
      <c r="C401" s="203" t="s">
        <v>4</v>
      </c>
      <c r="D401" s="203" t="s">
        <v>353</v>
      </c>
      <c r="E401" s="203" t="s">
        <v>353</v>
      </c>
      <c r="F401" s="206">
        <v>23228.2</v>
      </c>
      <c r="G401" s="206">
        <v>7742.7466700000004</v>
      </c>
      <c r="H401" s="206">
        <v>0</v>
      </c>
      <c r="I401" s="206">
        <v>0</v>
      </c>
      <c r="J401" s="206">
        <v>23228.2</v>
      </c>
      <c r="K401" s="206">
        <v>7742.7466700000004</v>
      </c>
      <c r="L401" s="206">
        <v>0</v>
      </c>
      <c r="M401" s="206">
        <v>0</v>
      </c>
      <c r="N401" s="206">
        <v>0</v>
      </c>
      <c r="O401" s="206">
        <v>0</v>
      </c>
      <c r="P401" s="206">
        <v>0</v>
      </c>
      <c r="Q401" s="206">
        <v>0</v>
      </c>
      <c r="R401" s="203" t="s">
        <v>77</v>
      </c>
      <c r="S401" s="203" t="s">
        <v>77</v>
      </c>
      <c r="T401" s="82" t="s">
        <v>15</v>
      </c>
      <c r="U401" s="203" t="s">
        <v>77</v>
      </c>
      <c r="V401" s="203" t="s">
        <v>77</v>
      </c>
      <c r="W401" s="203" t="s">
        <v>77</v>
      </c>
      <c r="X401" s="203" t="s">
        <v>77</v>
      </c>
      <c r="Y401" s="203" t="s">
        <v>77</v>
      </c>
      <c r="Z401" s="203" t="s">
        <v>77</v>
      </c>
      <c r="AA401" s="203" t="s">
        <v>77</v>
      </c>
      <c r="AB401" s="203" t="s">
        <v>77</v>
      </c>
      <c r="AC401" s="203" t="s">
        <v>77</v>
      </c>
    </row>
    <row r="402" spans="1:29" s="78" customFormat="1" ht="111" customHeight="1" x14ac:dyDescent="0.25">
      <c r="A402" s="158" t="s">
        <v>296</v>
      </c>
      <c r="B402" s="101" t="s">
        <v>487</v>
      </c>
      <c r="C402" s="203" t="s">
        <v>4</v>
      </c>
      <c r="D402" s="203" t="s">
        <v>353</v>
      </c>
      <c r="E402" s="203" t="s">
        <v>353</v>
      </c>
      <c r="F402" s="206">
        <v>116110.1</v>
      </c>
      <c r="G402" s="206">
        <v>38703.36666</v>
      </c>
      <c r="H402" s="206">
        <v>0</v>
      </c>
      <c r="I402" s="206">
        <v>0</v>
      </c>
      <c r="J402" s="206">
        <v>113970.3</v>
      </c>
      <c r="K402" s="206">
        <v>37990.1</v>
      </c>
      <c r="L402" s="206">
        <v>0</v>
      </c>
      <c r="M402" s="206">
        <v>0</v>
      </c>
      <c r="N402" s="206">
        <v>0</v>
      </c>
      <c r="O402" s="206">
        <v>0</v>
      </c>
      <c r="P402" s="206">
        <v>0</v>
      </c>
      <c r="Q402" s="206">
        <v>0</v>
      </c>
      <c r="R402" s="203" t="s">
        <v>77</v>
      </c>
      <c r="S402" s="203" t="s">
        <v>77</v>
      </c>
      <c r="T402" s="82" t="s">
        <v>15</v>
      </c>
      <c r="U402" s="203" t="s">
        <v>77</v>
      </c>
      <c r="V402" s="203" t="s">
        <v>77</v>
      </c>
      <c r="W402" s="203" t="s">
        <v>77</v>
      </c>
      <c r="X402" s="203" t="s">
        <v>77</v>
      </c>
      <c r="Y402" s="203" t="s">
        <v>77</v>
      </c>
      <c r="Z402" s="203" t="s">
        <v>77</v>
      </c>
      <c r="AA402" s="203" t="s">
        <v>77</v>
      </c>
      <c r="AB402" s="203" t="s">
        <v>77</v>
      </c>
      <c r="AC402" s="203" t="s">
        <v>77</v>
      </c>
    </row>
    <row r="403" spans="1:29" s="78" customFormat="1" ht="128.25" customHeight="1" x14ac:dyDescent="0.25">
      <c r="A403" s="158" t="s">
        <v>489</v>
      </c>
      <c r="B403" s="101" t="s">
        <v>488</v>
      </c>
      <c r="C403" s="203" t="s">
        <v>4</v>
      </c>
      <c r="D403" s="203" t="s">
        <v>353</v>
      </c>
      <c r="E403" s="203" t="s">
        <v>353</v>
      </c>
      <c r="F403" s="206">
        <v>33241.9</v>
      </c>
      <c r="G403" s="206">
        <v>11080.625</v>
      </c>
      <c r="H403" s="206">
        <v>0</v>
      </c>
      <c r="I403" s="206">
        <v>0</v>
      </c>
      <c r="J403" s="206">
        <v>33691.9</v>
      </c>
      <c r="K403" s="206">
        <v>11230.625</v>
      </c>
      <c r="L403" s="206">
        <v>0</v>
      </c>
      <c r="M403" s="206">
        <v>0</v>
      </c>
      <c r="N403" s="206">
        <v>0</v>
      </c>
      <c r="O403" s="206">
        <v>0</v>
      </c>
      <c r="P403" s="206">
        <v>0</v>
      </c>
      <c r="Q403" s="206">
        <v>0</v>
      </c>
      <c r="R403" s="203" t="s">
        <v>77</v>
      </c>
      <c r="S403" s="203" t="s">
        <v>77</v>
      </c>
      <c r="T403" s="82" t="s">
        <v>15</v>
      </c>
      <c r="U403" s="203" t="s">
        <v>77</v>
      </c>
      <c r="V403" s="203" t="s">
        <v>77</v>
      </c>
      <c r="W403" s="203" t="s">
        <v>77</v>
      </c>
      <c r="X403" s="203" t="s">
        <v>77</v>
      </c>
      <c r="Y403" s="203" t="s">
        <v>77</v>
      </c>
      <c r="Z403" s="203" t="s">
        <v>77</v>
      </c>
      <c r="AA403" s="203" t="s">
        <v>77</v>
      </c>
      <c r="AB403" s="203" t="s">
        <v>77</v>
      </c>
      <c r="AC403" s="203" t="s">
        <v>77</v>
      </c>
    </row>
    <row r="404" spans="1:29" s="38" customFormat="1" ht="135.75" customHeight="1" x14ac:dyDescent="0.25">
      <c r="A404" s="158" t="s">
        <v>73</v>
      </c>
      <c r="B404" s="87" t="s">
        <v>491</v>
      </c>
      <c r="C404" s="203" t="s">
        <v>4</v>
      </c>
      <c r="D404" s="203" t="s">
        <v>353</v>
      </c>
      <c r="E404" s="203" t="s">
        <v>353</v>
      </c>
      <c r="F404" s="206">
        <f>F405+F406+F407+F408+F409+F410+F411</f>
        <v>173351</v>
      </c>
      <c r="G404" s="206">
        <f t="shared" ref="G404:Q404" si="137">G405+G406+G407+G408+G409+G410+G411</f>
        <v>57783.666669999999</v>
      </c>
      <c r="H404" s="206">
        <f t="shared" si="137"/>
        <v>0</v>
      </c>
      <c r="I404" s="206">
        <f t="shared" si="137"/>
        <v>0</v>
      </c>
      <c r="J404" s="206">
        <f t="shared" si="137"/>
        <v>173485.2</v>
      </c>
      <c r="K404" s="206">
        <f t="shared" si="137"/>
        <v>57828.4</v>
      </c>
      <c r="L404" s="206">
        <f t="shared" si="137"/>
        <v>0</v>
      </c>
      <c r="M404" s="206">
        <f t="shared" si="137"/>
        <v>0</v>
      </c>
      <c r="N404" s="206">
        <f t="shared" si="137"/>
        <v>0</v>
      </c>
      <c r="O404" s="206">
        <f t="shared" si="137"/>
        <v>0</v>
      </c>
      <c r="P404" s="206">
        <f t="shared" si="137"/>
        <v>0</v>
      </c>
      <c r="Q404" s="206">
        <f t="shared" si="137"/>
        <v>0</v>
      </c>
      <c r="R404" s="203" t="s">
        <v>77</v>
      </c>
      <c r="S404" s="203" t="s">
        <v>77</v>
      </c>
      <c r="T404" s="82" t="s">
        <v>15</v>
      </c>
      <c r="U404" s="203" t="s">
        <v>77</v>
      </c>
      <c r="V404" s="203" t="s">
        <v>77</v>
      </c>
      <c r="W404" s="203" t="s">
        <v>77</v>
      </c>
      <c r="X404" s="203" t="s">
        <v>77</v>
      </c>
      <c r="Y404" s="203" t="s">
        <v>77</v>
      </c>
      <c r="Z404" s="203" t="s">
        <v>77</v>
      </c>
      <c r="AA404" s="203" t="s">
        <v>228</v>
      </c>
      <c r="AB404" s="203" t="s">
        <v>482</v>
      </c>
      <c r="AC404" s="203" t="s">
        <v>324</v>
      </c>
    </row>
    <row r="405" spans="1:29" s="80" customFormat="1" ht="92.25" customHeight="1" x14ac:dyDescent="0.25">
      <c r="A405" s="158" t="s">
        <v>499</v>
      </c>
      <c r="B405" s="101" t="s">
        <v>492</v>
      </c>
      <c r="C405" s="203" t="s">
        <v>4</v>
      </c>
      <c r="D405" s="203" t="s">
        <v>353</v>
      </c>
      <c r="E405" s="203" t="s">
        <v>353</v>
      </c>
      <c r="F405" s="206">
        <v>45000</v>
      </c>
      <c r="G405" s="206">
        <v>15000</v>
      </c>
      <c r="H405" s="206">
        <v>0</v>
      </c>
      <c r="I405" s="206">
        <v>0</v>
      </c>
      <c r="J405" s="206">
        <v>45000</v>
      </c>
      <c r="K405" s="206">
        <v>15000</v>
      </c>
      <c r="L405" s="206">
        <v>0</v>
      </c>
      <c r="M405" s="206">
        <v>0</v>
      </c>
      <c r="N405" s="206">
        <v>0</v>
      </c>
      <c r="O405" s="206">
        <v>0</v>
      </c>
      <c r="P405" s="206">
        <v>0</v>
      </c>
      <c r="Q405" s="206">
        <v>0</v>
      </c>
      <c r="R405" s="203" t="s">
        <v>77</v>
      </c>
      <c r="S405" s="203" t="s">
        <v>77</v>
      </c>
      <c r="T405" s="82" t="s">
        <v>15</v>
      </c>
      <c r="U405" s="203" t="s">
        <v>77</v>
      </c>
      <c r="V405" s="203" t="s">
        <v>77</v>
      </c>
      <c r="W405" s="203" t="s">
        <v>77</v>
      </c>
      <c r="X405" s="203" t="s">
        <v>77</v>
      </c>
      <c r="Y405" s="203" t="s">
        <v>77</v>
      </c>
      <c r="Z405" s="203" t="s">
        <v>77</v>
      </c>
      <c r="AA405" s="203" t="s">
        <v>77</v>
      </c>
      <c r="AB405" s="203" t="s">
        <v>77</v>
      </c>
      <c r="AC405" s="203" t="s">
        <v>77</v>
      </c>
    </row>
    <row r="406" spans="1:29" s="80" customFormat="1" ht="101.25" customHeight="1" x14ac:dyDescent="0.25">
      <c r="A406" s="158" t="s">
        <v>500</v>
      </c>
      <c r="B406" s="101" t="s">
        <v>493</v>
      </c>
      <c r="C406" s="203" t="s">
        <v>4</v>
      </c>
      <c r="D406" s="203" t="s">
        <v>353</v>
      </c>
      <c r="E406" s="203" t="s">
        <v>353</v>
      </c>
      <c r="F406" s="206">
        <v>30825</v>
      </c>
      <c r="G406" s="206">
        <v>10275</v>
      </c>
      <c r="H406" s="206">
        <v>0</v>
      </c>
      <c r="I406" s="206">
        <v>0</v>
      </c>
      <c r="J406" s="206">
        <v>30825</v>
      </c>
      <c r="K406" s="206">
        <v>10275</v>
      </c>
      <c r="L406" s="206">
        <v>0</v>
      </c>
      <c r="M406" s="206">
        <v>0</v>
      </c>
      <c r="N406" s="206">
        <v>0</v>
      </c>
      <c r="O406" s="206">
        <v>0</v>
      </c>
      <c r="P406" s="206">
        <v>0</v>
      </c>
      <c r="Q406" s="206">
        <v>0</v>
      </c>
      <c r="R406" s="203" t="s">
        <v>77</v>
      </c>
      <c r="S406" s="203" t="s">
        <v>77</v>
      </c>
      <c r="T406" s="82" t="s">
        <v>15</v>
      </c>
      <c r="U406" s="203" t="s">
        <v>77</v>
      </c>
      <c r="V406" s="203" t="s">
        <v>77</v>
      </c>
      <c r="W406" s="203" t="s">
        <v>77</v>
      </c>
      <c r="X406" s="203" t="s">
        <v>77</v>
      </c>
      <c r="Y406" s="203" t="s">
        <v>77</v>
      </c>
      <c r="Z406" s="203" t="s">
        <v>77</v>
      </c>
      <c r="AA406" s="203" t="s">
        <v>77</v>
      </c>
      <c r="AB406" s="203" t="s">
        <v>77</v>
      </c>
      <c r="AC406" s="203" t="s">
        <v>77</v>
      </c>
    </row>
    <row r="407" spans="1:29" s="80" customFormat="1" ht="92.25" customHeight="1" x14ac:dyDescent="0.25">
      <c r="A407" s="158" t="s">
        <v>501</v>
      </c>
      <c r="B407" s="101" t="s">
        <v>494</v>
      </c>
      <c r="C407" s="203" t="s">
        <v>4</v>
      </c>
      <c r="D407" s="203" t="s">
        <v>353</v>
      </c>
      <c r="E407" s="203" t="s">
        <v>353</v>
      </c>
      <c r="F407" s="206">
        <v>63750</v>
      </c>
      <c r="G407" s="206">
        <v>21250</v>
      </c>
      <c r="H407" s="206">
        <v>0</v>
      </c>
      <c r="I407" s="206">
        <v>0</v>
      </c>
      <c r="J407" s="206">
        <v>63750</v>
      </c>
      <c r="K407" s="206">
        <v>21250</v>
      </c>
      <c r="L407" s="206">
        <v>0</v>
      </c>
      <c r="M407" s="206">
        <v>0</v>
      </c>
      <c r="N407" s="206">
        <v>0</v>
      </c>
      <c r="O407" s="206">
        <v>0</v>
      </c>
      <c r="P407" s="206">
        <v>0</v>
      </c>
      <c r="Q407" s="206">
        <v>0</v>
      </c>
      <c r="R407" s="203" t="s">
        <v>77</v>
      </c>
      <c r="S407" s="203" t="s">
        <v>77</v>
      </c>
      <c r="T407" s="82" t="s">
        <v>15</v>
      </c>
      <c r="U407" s="203" t="s">
        <v>77</v>
      </c>
      <c r="V407" s="203" t="s">
        <v>77</v>
      </c>
      <c r="W407" s="203" t="s">
        <v>77</v>
      </c>
      <c r="X407" s="203" t="s">
        <v>77</v>
      </c>
      <c r="Y407" s="203" t="s">
        <v>77</v>
      </c>
      <c r="Z407" s="203" t="s">
        <v>77</v>
      </c>
      <c r="AA407" s="203" t="s">
        <v>77</v>
      </c>
      <c r="AB407" s="203" t="s">
        <v>77</v>
      </c>
      <c r="AC407" s="203" t="s">
        <v>77</v>
      </c>
    </row>
    <row r="408" spans="1:29" s="80" customFormat="1" ht="209.25" customHeight="1" x14ac:dyDescent="0.25">
      <c r="A408" s="158" t="s">
        <v>502</v>
      </c>
      <c r="B408" s="101" t="s">
        <v>495</v>
      </c>
      <c r="C408" s="203" t="s">
        <v>4</v>
      </c>
      <c r="D408" s="203" t="s">
        <v>353</v>
      </c>
      <c r="E408" s="203" t="s">
        <v>353</v>
      </c>
      <c r="F408" s="206">
        <v>6842.25</v>
      </c>
      <c r="G408" s="206">
        <v>2280.75</v>
      </c>
      <c r="H408" s="206">
        <v>0</v>
      </c>
      <c r="I408" s="206">
        <v>0</v>
      </c>
      <c r="J408" s="206">
        <v>5942.25</v>
      </c>
      <c r="K408" s="206">
        <v>1980.75</v>
      </c>
      <c r="L408" s="206">
        <v>0</v>
      </c>
      <c r="M408" s="206">
        <v>0</v>
      </c>
      <c r="N408" s="206">
        <v>0</v>
      </c>
      <c r="O408" s="206">
        <v>0</v>
      </c>
      <c r="P408" s="206">
        <v>0</v>
      </c>
      <c r="Q408" s="206">
        <v>0</v>
      </c>
      <c r="R408" s="203" t="s">
        <v>77</v>
      </c>
      <c r="S408" s="203" t="s">
        <v>77</v>
      </c>
      <c r="T408" s="82" t="s">
        <v>15</v>
      </c>
      <c r="U408" s="203" t="s">
        <v>77</v>
      </c>
      <c r="V408" s="203" t="s">
        <v>77</v>
      </c>
      <c r="W408" s="203" t="s">
        <v>77</v>
      </c>
      <c r="X408" s="203" t="s">
        <v>77</v>
      </c>
      <c r="Y408" s="203" t="s">
        <v>77</v>
      </c>
      <c r="Z408" s="203" t="s">
        <v>77</v>
      </c>
      <c r="AA408" s="203" t="s">
        <v>77</v>
      </c>
      <c r="AB408" s="203" t="s">
        <v>77</v>
      </c>
      <c r="AC408" s="203" t="s">
        <v>77</v>
      </c>
    </row>
    <row r="409" spans="1:29" s="80" customFormat="1" ht="147.75" customHeight="1" x14ac:dyDescent="0.25">
      <c r="A409" s="158" t="s">
        <v>503</v>
      </c>
      <c r="B409" s="101" t="s">
        <v>496</v>
      </c>
      <c r="C409" s="203" t="s">
        <v>4</v>
      </c>
      <c r="D409" s="203" t="s">
        <v>353</v>
      </c>
      <c r="E409" s="203" t="s">
        <v>353</v>
      </c>
      <c r="F409" s="206">
        <v>11933.75</v>
      </c>
      <c r="G409" s="206">
        <v>3977.9166700000001</v>
      </c>
      <c r="H409" s="206">
        <v>0</v>
      </c>
      <c r="I409" s="206">
        <v>0</v>
      </c>
      <c r="J409" s="206">
        <v>12967.95</v>
      </c>
      <c r="K409" s="206">
        <v>4322.6499999999996</v>
      </c>
      <c r="L409" s="206">
        <v>0</v>
      </c>
      <c r="M409" s="206">
        <v>0</v>
      </c>
      <c r="N409" s="206">
        <v>0</v>
      </c>
      <c r="O409" s="206">
        <v>0</v>
      </c>
      <c r="P409" s="206">
        <v>0</v>
      </c>
      <c r="Q409" s="206">
        <v>0</v>
      </c>
      <c r="R409" s="203" t="s">
        <v>77</v>
      </c>
      <c r="S409" s="203" t="s">
        <v>77</v>
      </c>
      <c r="T409" s="82" t="s">
        <v>15</v>
      </c>
      <c r="U409" s="203" t="s">
        <v>77</v>
      </c>
      <c r="V409" s="203" t="s">
        <v>77</v>
      </c>
      <c r="W409" s="203" t="s">
        <v>77</v>
      </c>
      <c r="X409" s="203" t="s">
        <v>77</v>
      </c>
      <c r="Y409" s="203" t="s">
        <v>77</v>
      </c>
      <c r="Z409" s="203" t="s">
        <v>77</v>
      </c>
      <c r="AA409" s="203" t="s">
        <v>77</v>
      </c>
      <c r="AB409" s="203" t="s">
        <v>77</v>
      </c>
      <c r="AC409" s="203" t="s">
        <v>77</v>
      </c>
    </row>
    <row r="410" spans="1:29" s="80" customFormat="1" ht="92.25" customHeight="1" x14ac:dyDescent="0.25">
      <c r="A410" s="158" t="s">
        <v>504</v>
      </c>
      <c r="B410" s="101" t="s">
        <v>497</v>
      </c>
      <c r="C410" s="203" t="s">
        <v>4</v>
      </c>
      <c r="D410" s="203" t="s">
        <v>353</v>
      </c>
      <c r="E410" s="203" t="s">
        <v>353</v>
      </c>
      <c r="F410" s="206">
        <v>7500</v>
      </c>
      <c r="G410" s="206">
        <v>2500</v>
      </c>
      <c r="H410" s="206">
        <v>0</v>
      </c>
      <c r="I410" s="206">
        <v>0</v>
      </c>
      <c r="J410" s="206">
        <v>7500</v>
      </c>
      <c r="K410" s="206">
        <v>2500</v>
      </c>
      <c r="L410" s="206">
        <v>0</v>
      </c>
      <c r="M410" s="206">
        <v>0</v>
      </c>
      <c r="N410" s="206">
        <v>0</v>
      </c>
      <c r="O410" s="206">
        <v>0</v>
      </c>
      <c r="P410" s="206">
        <v>0</v>
      </c>
      <c r="Q410" s="206">
        <v>0</v>
      </c>
      <c r="R410" s="203" t="s">
        <v>77</v>
      </c>
      <c r="S410" s="203" t="s">
        <v>77</v>
      </c>
      <c r="T410" s="82" t="s">
        <v>15</v>
      </c>
      <c r="U410" s="203" t="s">
        <v>77</v>
      </c>
      <c r="V410" s="203" t="s">
        <v>77</v>
      </c>
      <c r="W410" s="203" t="s">
        <v>77</v>
      </c>
      <c r="X410" s="203" t="s">
        <v>77</v>
      </c>
      <c r="Y410" s="203" t="s">
        <v>77</v>
      </c>
      <c r="Z410" s="203" t="s">
        <v>77</v>
      </c>
      <c r="AA410" s="203" t="s">
        <v>77</v>
      </c>
      <c r="AB410" s="203" t="s">
        <v>77</v>
      </c>
      <c r="AC410" s="203" t="s">
        <v>77</v>
      </c>
    </row>
    <row r="411" spans="1:29" s="80" customFormat="1" ht="92.25" customHeight="1" x14ac:dyDescent="0.25">
      <c r="A411" s="158" t="s">
        <v>505</v>
      </c>
      <c r="B411" s="101" t="s">
        <v>498</v>
      </c>
      <c r="C411" s="203" t="s">
        <v>4</v>
      </c>
      <c r="D411" s="203" t="s">
        <v>353</v>
      </c>
      <c r="E411" s="203" t="s">
        <v>353</v>
      </c>
      <c r="F411" s="206">
        <v>7500</v>
      </c>
      <c r="G411" s="206">
        <v>2500</v>
      </c>
      <c r="H411" s="206">
        <v>0</v>
      </c>
      <c r="I411" s="206">
        <v>0</v>
      </c>
      <c r="J411" s="206">
        <v>7500</v>
      </c>
      <c r="K411" s="206">
        <v>2500</v>
      </c>
      <c r="L411" s="206">
        <v>0</v>
      </c>
      <c r="M411" s="206">
        <v>0</v>
      </c>
      <c r="N411" s="206">
        <v>0</v>
      </c>
      <c r="O411" s="206">
        <v>0</v>
      </c>
      <c r="P411" s="206">
        <v>0</v>
      </c>
      <c r="Q411" s="206">
        <v>0</v>
      </c>
      <c r="R411" s="203" t="s">
        <v>77</v>
      </c>
      <c r="S411" s="203" t="s">
        <v>77</v>
      </c>
      <c r="T411" s="82" t="s">
        <v>15</v>
      </c>
      <c r="U411" s="203" t="s">
        <v>77</v>
      </c>
      <c r="V411" s="203" t="s">
        <v>77</v>
      </c>
      <c r="W411" s="203" t="s">
        <v>77</v>
      </c>
      <c r="X411" s="203" t="s">
        <v>77</v>
      </c>
      <c r="Y411" s="203" t="s">
        <v>77</v>
      </c>
      <c r="Z411" s="203" t="s">
        <v>77</v>
      </c>
      <c r="AA411" s="203" t="s">
        <v>77</v>
      </c>
      <c r="AB411" s="203" t="s">
        <v>77</v>
      </c>
      <c r="AC411" s="203" t="s">
        <v>77</v>
      </c>
    </row>
    <row r="412" spans="1:29" s="80" customFormat="1" ht="123.75" customHeight="1" x14ac:dyDescent="0.25">
      <c r="A412" s="158" t="s">
        <v>290</v>
      </c>
      <c r="B412" s="87" t="s">
        <v>230</v>
      </c>
      <c r="C412" s="203" t="s">
        <v>152</v>
      </c>
      <c r="D412" s="203" t="s">
        <v>353</v>
      </c>
      <c r="E412" s="203" t="s">
        <v>353</v>
      </c>
      <c r="F412" s="206">
        <v>47222.9</v>
      </c>
      <c r="G412" s="206">
        <v>15741</v>
      </c>
      <c r="H412" s="206">
        <v>0</v>
      </c>
      <c r="I412" s="206">
        <v>0</v>
      </c>
      <c r="J412" s="206">
        <v>0</v>
      </c>
      <c r="K412" s="206">
        <v>0</v>
      </c>
      <c r="L412" s="206">
        <v>0</v>
      </c>
      <c r="M412" s="206">
        <v>0</v>
      </c>
      <c r="N412" s="206">
        <v>0</v>
      </c>
      <c r="O412" s="206">
        <v>0</v>
      </c>
      <c r="P412" s="206">
        <v>0</v>
      </c>
      <c r="Q412" s="206">
        <v>0</v>
      </c>
      <c r="R412" s="203" t="s">
        <v>77</v>
      </c>
      <c r="S412" s="203" t="s">
        <v>77</v>
      </c>
      <c r="T412" s="82" t="s">
        <v>15</v>
      </c>
      <c r="U412" s="203" t="s">
        <v>77</v>
      </c>
      <c r="V412" s="203" t="s">
        <v>77</v>
      </c>
      <c r="W412" s="203" t="s">
        <v>77</v>
      </c>
      <c r="X412" s="203" t="s">
        <v>77</v>
      </c>
      <c r="Y412" s="203" t="s">
        <v>77</v>
      </c>
      <c r="Z412" s="203" t="s">
        <v>77</v>
      </c>
      <c r="AA412" s="203" t="s">
        <v>507</v>
      </c>
      <c r="AB412" s="203" t="s">
        <v>209</v>
      </c>
      <c r="AC412" s="203" t="s">
        <v>506</v>
      </c>
    </row>
    <row r="413" spans="1:29" s="43" customFormat="1" ht="57" customHeight="1" x14ac:dyDescent="0.25">
      <c r="A413" s="2" t="s">
        <v>60</v>
      </c>
      <c r="B413" s="4" t="s">
        <v>323</v>
      </c>
      <c r="C413" s="16" t="s">
        <v>77</v>
      </c>
      <c r="D413" s="16" t="s">
        <v>77</v>
      </c>
      <c r="E413" s="16" t="s">
        <v>77</v>
      </c>
      <c r="F413" s="8">
        <f>F414</f>
        <v>7500</v>
      </c>
      <c r="G413" s="8">
        <f t="shared" ref="G413:Q413" si="138">G414</f>
        <v>2500</v>
      </c>
      <c r="H413" s="8">
        <f t="shared" si="138"/>
        <v>0</v>
      </c>
      <c r="I413" s="8">
        <f t="shared" si="138"/>
        <v>0</v>
      </c>
      <c r="J413" s="8">
        <f t="shared" si="138"/>
        <v>13500</v>
      </c>
      <c r="K413" s="8">
        <f t="shared" si="138"/>
        <v>4500</v>
      </c>
      <c r="L413" s="8">
        <f t="shared" si="138"/>
        <v>0</v>
      </c>
      <c r="M413" s="8">
        <f t="shared" si="138"/>
        <v>0</v>
      </c>
      <c r="N413" s="8">
        <f t="shared" si="138"/>
        <v>0</v>
      </c>
      <c r="O413" s="8">
        <f t="shared" si="138"/>
        <v>0</v>
      </c>
      <c r="P413" s="8">
        <f t="shared" si="138"/>
        <v>0</v>
      </c>
      <c r="Q413" s="8">
        <f t="shared" si="138"/>
        <v>0</v>
      </c>
      <c r="R413" s="16" t="s">
        <v>77</v>
      </c>
      <c r="S413" s="16" t="s">
        <v>77</v>
      </c>
      <c r="T413" s="16" t="s">
        <v>77</v>
      </c>
      <c r="U413" s="16" t="s">
        <v>77</v>
      </c>
      <c r="V413" s="16" t="s">
        <v>77</v>
      </c>
      <c r="W413" s="16" t="s">
        <v>77</v>
      </c>
      <c r="X413" s="16" t="s">
        <v>77</v>
      </c>
      <c r="Y413" s="16" t="s">
        <v>77</v>
      </c>
      <c r="Z413" s="16" t="s">
        <v>77</v>
      </c>
      <c r="AA413" s="16" t="s">
        <v>77</v>
      </c>
      <c r="AB413" s="16" t="s">
        <v>77</v>
      </c>
      <c r="AC413" s="16" t="s">
        <v>77</v>
      </c>
    </row>
    <row r="414" spans="1:29" s="38" customFormat="1" ht="246.75" customHeight="1" x14ac:dyDescent="0.25">
      <c r="A414" s="158" t="s">
        <v>51</v>
      </c>
      <c r="B414" s="87" t="s">
        <v>231</v>
      </c>
      <c r="C414" s="203" t="s">
        <v>4</v>
      </c>
      <c r="D414" s="203" t="s">
        <v>353</v>
      </c>
      <c r="E414" s="203" t="s">
        <v>353</v>
      </c>
      <c r="F414" s="206">
        <v>7500</v>
      </c>
      <c r="G414" s="206">
        <v>2500</v>
      </c>
      <c r="H414" s="206">
        <v>0</v>
      </c>
      <c r="I414" s="206">
        <v>0</v>
      </c>
      <c r="J414" s="206">
        <v>13500</v>
      </c>
      <c r="K414" s="206">
        <v>4500</v>
      </c>
      <c r="L414" s="206">
        <v>0</v>
      </c>
      <c r="M414" s="206">
        <v>0</v>
      </c>
      <c r="N414" s="206">
        <v>0</v>
      </c>
      <c r="O414" s="206">
        <v>0</v>
      </c>
      <c r="P414" s="206">
        <v>0</v>
      </c>
      <c r="Q414" s="206">
        <v>0</v>
      </c>
      <c r="R414" s="203" t="s">
        <v>77</v>
      </c>
      <c r="S414" s="203" t="s">
        <v>77</v>
      </c>
      <c r="T414" s="203" t="s">
        <v>77</v>
      </c>
      <c r="U414" s="203" t="s">
        <v>77</v>
      </c>
      <c r="V414" s="203" t="s">
        <v>77</v>
      </c>
      <c r="W414" s="203" t="s">
        <v>77</v>
      </c>
      <c r="X414" s="203" t="s">
        <v>77</v>
      </c>
      <c r="Y414" s="203" t="s">
        <v>77</v>
      </c>
      <c r="Z414" s="203" t="s">
        <v>77</v>
      </c>
      <c r="AA414" s="203" t="s">
        <v>513</v>
      </c>
      <c r="AB414" s="203" t="s">
        <v>509</v>
      </c>
      <c r="AC414" s="203" t="s">
        <v>508</v>
      </c>
    </row>
    <row r="415" spans="1:29" s="42" customFormat="1" ht="57" customHeight="1" x14ac:dyDescent="0.25">
      <c r="A415" s="39" t="s">
        <v>29</v>
      </c>
      <c r="B415" s="55" t="s">
        <v>205</v>
      </c>
      <c r="C415" s="15" t="s">
        <v>77</v>
      </c>
      <c r="D415" s="15" t="s">
        <v>77</v>
      </c>
      <c r="E415" s="15" t="s">
        <v>77</v>
      </c>
      <c r="F415" s="11">
        <f>F416</f>
        <v>435299.2</v>
      </c>
      <c r="G415" s="11">
        <f t="shared" ref="G415:Q415" si="139">G416</f>
        <v>18137.520000000022</v>
      </c>
      <c r="H415" s="11">
        <f t="shared" si="139"/>
        <v>0</v>
      </c>
      <c r="I415" s="11">
        <f t="shared" si="139"/>
        <v>0</v>
      </c>
      <c r="J415" s="11">
        <f t="shared" si="139"/>
        <v>424097</v>
      </c>
      <c r="K415" s="11">
        <f t="shared" si="139"/>
        <v>17670.799999999988</v>
      </c>
      <c r="L415" s="11">
        <f t="shared" si="139"/>
        <v>0</v>
      </c>
      <c r="M415" s="11">
        <f t="shared" si="139"/>
        <v>0</v>
      </c>
      <c r="N415" s="11">
        <f t="shared" si="139"/>
        <v>0</v>
      </c>
      <c r="O415" s="11">
        <f t="shared" si="139"/>
        <v>0</v>
      </c>
      <c r="P415" s="11">
        <f t="shared" si="139"/>
        <v>0</v>
      </c>
      <c r="Q415" s="11">
        <f t="shared" si="139"/>
        <v>0</v>
      </c>
      <c r="R415" s="15" t="s">
        <v>77</v>
      </c>
      <c r="S415" s="15" t="s">
        <v>77</v>
      </c>
      <c r="T415" s="15" t="s">
        <v>77</v>
      </c>
      <c r="U415" s="15" t="s">
        <v>77</v>
      </c>
      <c r="V415" s="15" t="s">
        <v>77</v>
      </c>
      <c r="W415" s="15" t="s">
        <v>77</v>
      </c>
      <c r="X415" s="15" t="s">
        <v>77</v>
      </c>
      <c r="Y415" s="15" t="s">
        <v>77</v>
      </c>
      <c r="Z415" s="15" t="s">
        <v>77</v>
      </c>
      <c r="AA415" s="15" t="s">
        <v>77</v>
      </c>
      <c r="AB415" s="15" t="s">
        <v>77</v>
      </c>
      <c r="AC415" s="15" t="s">
        <v>77</v>
      </c>
    </row>
    <row r="416" spans="1:29" s="43" customFormat="1" ht="69.75" customHeight="1" x14ac:dyDescent="0.25">
      <c r="A416" s="2" t="s">
        <v>1</v>
      </c>
      <c r="B416" s="4" t="s">
        <v>280</v>
      </c>
      <c r="C416" s="16" t="s">
        <v>77</v>
      </c>
      <c r="D416" s="16" t="s">
        <v>77</v>
      </c>
      <c r="E416" s="16" t="s">
        <v>77</v>
      </c>
      <c r="F416" s="8">
        <f>F417+F418</f>
        <v>435299.2</v>
      </c>
      <c r="G416" s="8">
        <f t="shared" ref="G416:Q416" si="140">G417+G418</f>
        <v>18137.520000000022</v>
      </c>
      <c r="H416" s="8">
        <f t="shared" si="140"/>
        <v>0</v>
      </c>
      <c r="I416" s="8">
        <f t="shared" si="140"/>
        <v>0</v>
      </c>
      <c r="J416" s="8">
        <f t="shared" si="140"/>
        <v>424097</v>
      </c>
      <c r="K416" s="8">
        <f t="shared" si="140"/>
        <v>17670.799999999988</v>
      </c>
      <c r="L416" s="8">
        <f t="shared" si="140"/>
        <v>0</v>
      </c>
      <c r="M416" s="8">
        <f t="shared" si="140"/>
        <v>0</v>
      </c>
      <c r="N416" s="8">
        <f t="shared" si="140"/>
        <v>0</v>
      </c>
      <c r="O416" s="8">
        <f t="shared" si="140"/>
        <v>0</v>
      </c>
      <c r="P416" s="8">
        <f t="shared" si="140"/>
        <v>0</v>
      </c>
      <c r="Q416" s="8">
        <f t="shared" si="140"/>
        <v>0</v>
      </c>
      <c r="R416" s="16" t="s">
        <v>77</v>
      </c>
      <c r="S416" s="16" t="s">
        <v>77</v>
      </c>
      <c r="T416" s="16" t="s">
        <v>77</v>
      </c>
      <c r="U416" s="16" t="s">
        <v>77</v>
      </c>
      <c r="V416" s="16" t="s">
        <v>77</v>
      </c>
      <c r="W416" s="16" t="s">
        <v>77</v>
      </c>
      <c r="X416" s="16" t="s">
        <v>77</v>
      </c>
      <c r="Y416" s="16" t="s">
        <v>77</v>
      </c>
      <c r="Z416" s="16" t="s">
        <v>77</v>
      </c>
      <c r="AA416" s="16" t="s">
        <v>77</v>
      </c>
      <c r="AB416" s="16" t="s">
        <v>77</v>
      </c>
      <c r="AC416" s="16" t="s">
        <v>77</v>
      </c>
    </row>
    <row r="417" spans="1:29" s="38" customFormat="1" ht="115.5" customHeight="1" x14ac:dyDescent="0.25">
      <c r="A417" s="158" t="s">
        <v>25</v>
      </c>
      <c r="B417" s="87" t="s">
        <v>206</v>
      </c>
      <c r="C417" s="203" t="s">
        <v>4</v>
      </c>
      <c r="D417" s="203" t="s">
        <v>353</v>
      </c>
      <c r="E417" s="203" t="s">
        <v>353</v>
      </c>
      <c r="F417" s="206">
        <v>428036.5</v>
      </c>
      <c r="G417" s="206">
        <v>17834.900000000023</v>
      </c>
      <c r="H417" s="206">
        <v>0</v>
      </c>
      <c r="I417" s="206">
        <v>0</v>
      </c>
      <c r="J417" s="206">
        <v>424097</v>
      </c>
      <c r="K417" s="206">
        <v>17670.799999999988</v>
      </c>
      <c r="L417" s="206">
        <v>0</v>
      </c>
      <c r="M417" s="206">
        <v>0</v>
      </c>
      <c r="N417" s="206">
        <v>0</v>
      </c>
      <c r="O417" s="206">
        <v>0</v>
      </c>
      <c r="P417" s="206">
        <v>0</v>
      </c>
      <c r="Q417" s="206">
        <v>0</v>
      </c>
      <c r="R417" s="203" t="s">
        <v>77</v>
      </c>
      <c r="S417" s="203" t="s">
        <v>77</v>
      </c>
      <c r="T417" s="82" t="s">
        <v>15</v>
      </c>
      <c r="U417" s="203" t="s">
        <v>77</v>
      </c>
      <c r="V417" s="203" t="s">
        <v>77</v>
      </c>
      <c r="W417" s="203" t="s">
        <v>77</v>
      </c>
      <c r="X417" s="203" t="s">
        <v>77</v>
      </c>
      <c r="Y417" s="203" t="s">
        <v>77</v>
      </c>
      <c r="Z417" s="203" t="s">
        <v>77</v>
      </c>
      <c r="AA417" s="203" t="s">
        <v>207</v>
      </c>
      <c r="AB417" s="203" t="s">
        <v>928</v>
      </c>
      <c r="AC417" s="203" t="s">
        <v>480</v>
      </c>
    </row>
    <row r="418" spans="1:29" s="3" customFormat="1" ht="84.75" customHeight="1" x14ac:dyDescent="0.25">
      <c r="A418" s="141" t="s">
        <v>78</v>
      </c>
      <c r="B418" s="172" t="s">
        <v>352</v>
      </c>
      <c r="C418" s="205" t="s">
        <v>4</v>
      </c>
      <c r="D418" s="208" t="s">
        <v>353</v>
      </c>
      <c r="E418" s="208" t="s">
        <v>354</v>
      </c>
      <c r="F418" s="140">
        <v>7262.7</v>
      </c>
      <c r="G418" s="140">
        <v>302.62</v>
      </c>
      <c r="H418" s="144">
        <v>0</v>
      </c>
      <c r="I418" s="144">
        <v>0</v>
      </c>
      <c r="J418" s="144">
        <v>0</v>
      </c>
      <c r="K418" s="144">
        <v>0</v>
      </c>
      <c r="L418" s="144">
        <v>0</v>
      </c>
      <c r="M418" s="144">
        <v>0</v>
      </c>
      <c r="N418" s="144">
        <v>0</v>
      </c>
      <c r="O418" s="144">
        <v>0</v>
      </c>
      <c r="P418" s="144">
        <v>0</v>
      </c>
      <c r="Q418" s="144">
        <v>0</v>
      </c>
      <c r="R418" s="208" t="s">
        <v>15</v>
      </c>
      <c r="S418" s="208" t="s">
        <v>15</v>
      </c>
      <c r="T418" s="82" t="s">
        <v>15</v>
      </c>
      <c r="U418" s="208" t="s">
        <v>15</v>
      </c>
      <c r="V418" s="208" t="s">
        <v>15</v>
      </c>
      <c r="W418" s="208" t="s">
        <v>15</v>
      </c>
      <c r="X418" s="208" t="s">
        <v>15</v>
      </c>
      <c r="Y418" s="208" t="s">
        <v>15</v>
      </c>
      <c r="Z418" s="208" t="s">
        <v>15</v>
      </c>
      <c r="AA418" s="208" t="s">
        <v>926</v>
      </c>
      <c r="AB418" s="208" t="s">
        <v>927</v>
      </c>
      <c r="AC418" s="208" t="s">
        <v>355</v>
      </c>
    </row>
    <row r="419" spans="1:29" s="48" customFormat="1" ht="90.75" customHeight="1" x14ac:dyDescent="0.3">
      <c r="A419" s="29" t="s">
        <v>246</v>
      </c>
      <c r="B419" s="54" t="s">
        <v>195</v>
      </c>
      <c r="C419" s="24" t="s">
        <v>15</v>
      </c>
      <c r="D419" s="24" t="s">
        <v>15</v>
      </c>
      <c r="E419" s="24" t="s">
        <v>15</v>
      </c>
      <c r="F419" s="26">
        <f>F421+F424+F429</f>
        <v>97872.250749999992</v>
      </c>
      <c r="G419" s="26">
        <f t="shared" ref="G419:Q419" si="141">G421+G424+G429</f>
        <v>14683.9</v>
      </c>
      <c r="H419" s="26">
        <f t="shared" si="141"/>
        <v>2055.6999999999998</v>
      </c>
      <c r="I419" s="26">
        <f t="shared" si="141"/>
        <v>0</v>
      </c>
      <c r="J419" s="26">
        <f t="shared" si="141"/>
        <v>123334.35787000001</v>
      </c>
      <c r="K419" s="26">
        <f t="shared" si="141"/>
        <v>5000</v>
      </c>
      <c r="L419" s="26">
        <f t="shared" si="141"/>
        <v>700</v>
      </c>
      <c r="M419" s="26">
        <f t="shared" si="141"/>
        <v>0</v>
      </c>
      <c r="N419" s="26">
        <f t="shared" si="141"/>
        <v>25000</v>
      </c>
      <c r="O419" s="26">
        <f t="shared" si="141"/>
        <v>0</v>
      </c>
      <c r="P419" s="26">
        <f t="shared" si="141"/>
        <v>0</v>
      </c>
      <c r="Q419" s="26">
        <f t="shared" si="141"/>
        <v>0</v>
      </c>
      <c r="R419" s="24" t="s">
        <v>15</v>
      </c>
      <c r="S419" s="24" t="s">
        <v>15</v>
      </c>
      <c r="T419" s="24" t="s">
        <v>15</v>
      </c>
      <c r="U419" s="24" t="s">
        <v>15</v>
      </c>
      <c r="V419" s="24" t="s">
        <v>15</v>
      </c>
      <c r="W419" s="24" t="s">
        <v>15</v>
      </c>
      <c r="X419" s="24" t="s">
        <v>15</v>
      </c>
      <c r="Y419" s="24" t="s">
        <v>15</v>
      </c>
      <c r="Z419" s="24" t="s">
        <v>15</v>
      </c>
      <c r="AA419" s="24" t="s">
        <v>15</v>
      </c>
      <c r="AB419" s="24" t="s">
        <v>15</v>
      </c>
      <c r="AC419" s="24" t="s">
        <v>15</v>
      </c>
    </row>
    <row r="420" spans="1:29" s="42" customFormat="1" ht="42" customHeight="1" x14ac:dyDescent="0.25">
      <c r="A420" s="39" t="s">
        <v>2</v>
      </c>
      <c r="B420" s="55" t="s">
        <v>121</v>
      </c>
      <c r="C420" s="15" t="s">
        <v>15</v>
      </c>
      <c r="D420" s="15" t="s">
        <v>15</v>
      </c>
      <c r="E420" s="15" t="s">
        <v>15</v>
      </c>
      <c r="F420" s="11">
        <f>F421</f>
        <v>0</v>
      </c>
      <c r="G420" s="11">
        <f t="shared" ref="G420:Q420" si="142">G421</f>
        <v>0</v>
      </c>
      <c r="H420" s="11">
        <f t="shared" si="142"/>
        <v>0</v>
      </c>
      <c r="I420" s="11">
        <f t="shared" si="142"/>
        <v>0</v>
      </c>
      <c r="J420" s="11">
        <f t="shared" si="142"/>
        <v>0</v>
      </c>
      <c r="K420" s="11">
        <f t="shared" si="142"/>
        <v>0</v>
      </c>
      <c r="L420" s="11">
        <f t="shared" si="142"/>
        <v>0</v>
      </c>
      <c r="M420" s="11">
        <f t="shared" si="142"/>
        <v>0</v>
      </c>
      <c r="N420" s="11">
        <f t="shared" si="142"/>
        <v>25000</v>
      </c>
      <c r="O420" s="11">
        <f t="shared" si="142"/>
        <v>0</v>
      </c>
      <c r="P420" s="11">
        <f t="shared" si="142"/>
        <v>0</v>
      </c>
      <c r="Q420" s="11">
        <f t="shared" si="142"/>
        <v>0</v>
      </c>
      <c r="R420" s="15" t="s">
        <v>15</v>
      </c>
      <c r="S420" s="15" t="s">
        <v>15</v>
      </c>
      <c r="T420" s="15" t="s">
        <v>15</v>
      </c>
      <c r="U420" s="15" t="s">
        <v>15</v>
      </c>
      <c r="V420" s="15" t="s">
        <v>15</v>
      </c>
      <c r="W420" s="15" t="s">
        <v>15</v>
      </c>
      <c r="X420" s="15" t="s">
        <v>15</v>
      </c>
      <c r="Y420" s="15" t="s">
        <v>15</v>
      </c>
      <c r="Z420" s="15" t="s">
        <v>15</v>
      </c>
      <c r="AA420" s="15" t="s">
        <v>15</v>
      </c>
      <c r="AB420" s="15" t="s">
        <v>15</v>
      </c>
      <c r="AC420" s="15" t="s">
        <v>15</v>
      </c>
    </row>
    <row r="421" spans="1:29" s="19" customFormat="1" ht="68.25" customHeight="1" x14ac:dyDescent="0.25">
      <c r="A421" s="41" t="s">
        <v>1</v>
      </c>
      <c r="B421" s="4" t="s">
        <v>986</v>
      </c>
      <c r="C421" s="34" t="s">
        <v>15</v>
      </c>
      <c r="D421" s="34" t="s">
        <v>15</v>
      </c>
      <c r="E421" s="34" t="s">
        <v>15</v>
      </c>
      <c r="F421" s="8">
        <f>F422</f>
        <v>0</v>
      </c>
      <c r="G421" s="8">
        <f t="shared" ref="G421:Q421" si="143">G422</f>
        <v>0</v>
      </c>
      <c r="H421" s="8">
        <f t="shared" si="143"/>
        <v>0</v>
      </c>
      <c r="I421" s="8">
        <f t="shared" si="143"/>
        <v>0</v>
      </c>
      <c r="J421" s="8">
        <f t="shared" si="143"/>
        <v>0</v>
      </c>
      <c r="K421" s="8">
        <f t="shared" si="143"/>
        <v>0</v>
      </c>
      <c r="L421" s="8">
        <f t="shared" si="143"/>
        <v>0</v>
      </c>
      <c r="M421" s="8">
        <f t="shared" si="143"/>
        <v>0</v>
      </c>
      <c r="N421" s="8">
        <f t="shared" si="143"/>
        <v>25000</v>
      </c>
      <c r="O421" s="8">
        <f t="shared" si="143"/>
        <v>0</v>
      </c>
      <c r="P421" s="8">
        <f t="shared" si="143"/>
        <v>0</v>
      </c>
      <c r="Q421" s="8">
        <f t="shared" si="143"/>
        <v>0</v>
      </c>
      <c r="R421" s="34" t="s">
        <v>15</v>
      </c>
      <c r="S421" s="34" t="s">
        <v>15</v>
      </c>
      <c r="T421" s="34" t="s">
        <v>15</v>
      </c>
      <c r="U421" s="34" t="s">
        <v>15</v>
      </c>
      <c r="V421" s="34" t="s">
        <v>15</v>
      </c>
      <c r="W421" s="34" t="s">
        <v>15</v>
      </c>
      <c r="X421" s="34" t="s">
        <v>15</v>
      </c>
      <c r="Y421" s="34" t="s">
        <v>15</v>
      </c>
      <c r="Z421" s="34" t="s">
        <v>15</v>
      </c>
      <c r="AA421" s="34" t="s">
        <v>15</v>
      </c>
      <c r="AB421" s="34" t="s">
        <v>15</v>
      </c>
      <c r="AC421" s="34" t="s">
        <v>15</v>
      </c>
    </row>
    <row r="422" spans="1:29" s="166" customFormat="1" ht="106.5" customHeight="1" x14ac:dyDescent="0.25">
      <c r="A422" s="90" t="s">
        <v>987</v>
      </c>
      <c r="B422" s="164" t="s">
        <v>990</v>
      </c>
      <c r="C422" s="239" t="s">
        <v>4</v>
      </c>
      <c r="D422" s="239" t="s">
        <v>396</v>
      </c>
      <c r="E422" s="239" t="s">
        <v>396</v>
      </c>
      <c r="F422" s="206">
        <f>F423</f>
        <v>0</v>
      </c>
      <c r="G422" s="206">
        <f t="shared" ref="G422:Q422" si="144">G423</f>
        <v>0</v>
      </c>
      <c r="H422" s="206">
        <f t="shared" si="144"/>
        <v>0</v>
      </c>
      <c r="I422" s="206">
        <f t="shared" si="144"/>
        <v>0</v>
      </c>
      <c r="J422" s="206">
        <f t="shared" si="144"/>
        <v>0</v>
      </c>
      <c r="K422" s="206">
        <f t="shared" si="144"/>
        <v>0</v>
      </c>
      <c r="L422" s="206">
        <f t="shared" si="144"/>
        <v>0</v>
      </c>
      <c r="M422" s="206">
        <f t="shared" si="144"/>
        <v>0</v>
      </c>
      <c r="N422" s="206">
        <f t="shared" si="144"/>
        <v>25000</v>
      </c>
      <c r="O422" s="206">
        <f t="shared" si="144"/>
        <v>0</v>
      </c>
      <c r="P422" s="206">
        <f t="shared" si="144"/>
        <v>0</v>
      </c>
      <c r="Q422" s="206">
        <f t="shared" si="144"/>
        <v>0</v>
      </c>
      <c r="R422" s="165" t="s">
        <v>77</v>
      </c>
      <c r="S422" s="165" t="s">
        <v>77</v>
      </c>
      <c r="T422" s="82" t="s">
        <v>15</v>
      </c>
      <c r="U422" s="83" t="s">
        <v>15</v>
      </c>
      <c r="V422" s="83" t="s">
        <v>15</v>
      </c>
      <c r="W422" s="83" t="s">
        <v>15</v>
      </c>
      <c r="X422" s="83" t="s">
        <v>15</v>
      </c>
      <c r="Y422" s="83" t="s">
        <v>15</v>
      </c>
      <c r="Z422" s="83" t="s">
        <v>77</v>
      </c>
      <c r="AA422" s="239" t="s">
        <v>988</v>
      </c>
      <c r="AB422" s="246" t="s">
        <v>991</v>
      </c>
      <c r="AC422" s="247" t="s">
        <v>455</v>
      </c>
    </row>
    <row r="423" spans="1:29" s="178" customFormat="1" ht="70.5" customHeight="1" x14ac:dyDescent="0.25">
      <c r="A423" s="167" t="s">
        <v>293</v>
      </c>
      <c r="B423" s="175" t="s">
        <v>989</v>
      </c>
      <c r="C423" s="239"/>
      <c r="D423" s="239"/>
      <c r="E423" s="239"/>
      <c r="F423" s="144">
        <v>0</v>
      </c>
      <c r="G423" s="144">
        <v>0</v>
      </c>
      <c r="H423" s="144">
        <v>0</v>
      </c>
      <c r="I423" s="144">
        <v>0</v>
      </c>
      <c r="J423" s="144">
        <v>0</v>
      </c>
      <c r="K423" s="144">
        <v>0</v>
      </c>
      <c r="L423" s="144">
        <v>0</v>
      </c>
      <c r="M423" s="144">
        <v>0</v>
      </c>
      <c r="N423" s="144">
        <v>25000</v>
      </c>
      <c r="O423" s="144">
        <v>0</v>
      </c>
      <c r="P423" s="144">
        <v>0</v>
      </c>
      <c r="Q423" s="144">
        <v>0</v>
      </c>
      <c r="R423" s="176">
        <v>2025</v>
      </c>
      <c r="S423" s="176">
        <v>2027</v>
      </c>
      <c r="T423" s="82" t="s">
        <v>15</v>
      </c>
      <c r="U423" s="140" t="s">
        <v>15</v>
      </c>
      <c r="V423" s="140" t="s">
        <v>15</v>
      </c>
      <c r="W423" s="140" t="s">
        <v>15</v>
      </c>
      <c r="X423" s="140" t="s">
        <v>15</v>
      </c>
      <c r="Y423" s="177">
        <v>2027</v>
      </c>
      <c r="Z423" s="140">
        <v>180000</v>
      </c>
      <c r="AA423" s="239"/>
      <c r="AB423" s="246"/>
      <c r="AC423" s="247"/>
    </row>
    <row r="424" spans="1:29" s="22" customFormat="1" ht="100.5" customHeight="1" x14ac:dyDescent="0.25">
      <c r="A424" s="2" t="s">
        <v>8</v>
      </c>
      <c r="B424" s="4" t="s">
        <v>301</v>
      </c>
      <c r="C424" s="9" t="s">
        <v>15</v>
      </c>
      <c r="D424" s="9" t="s">
        <v>15</v>
      </c>
      <c r="E424" s="9" t="s">
        <v>15</v>
      </c>
      <c r="F424" s="8">
        <f>F426+F425</f>
        <v>75377.195799999987</v>
      </c>
      <c r="G424" s="8">
        <f t="shared" ref="G424:Q424" si="145">G426+G425</f>
        <v>14683.9</v>
      </c>
      <c r="H424" s="8">
        <f t="shared" si="145"/>
        <v>2055.6999999999998</v>
      </c>
      <c r="I424" s="8">
        <f t="shared" si="145"/>
        <v>0</v>
      </c>
      <c r="J424" s="8">
        <f t="shared" si="145"/>
        <v>102874.5</v>
      </c>
      <c r="K424" s="8">
        <f t="shared" si="145"/>
        <v>5000</v>
      </c>
      <c r="L424" s="8">
        <f t="shared" si="145"/>
        <v>700</v>
      </c>
      <c r="M424" s="8">
        <f t="shared" si="145"/>
        <v>0</v>
      </c>
      <c r="N424" s="8">
        <f t="shared" si="145"/>
        <v>0</v>
      </c>
      <c r="O424" s="8">
        <f t="shared" si="145"/>
        <v>0</v>
      </c>
      <c r="P424" s="8">
        <f t="shared" si="145"/>
        <v>0</v>
      </c>
      <c r="Q424" s="8">
        <f t="shared" si="145"/>
        <v>0</v>
      </c>
      <c r="R424" s="9" t="s">
        <v>15</v>
      </c>
      <c r="S424" s="9" t="s">
        <v>15</v>
      </c>
      <c r="T424" s="9" t="s">
        <v>15</v>
      </c>
      <c r="U424" s="9" t="s">
        <v>15</v>
      </c>
      <c r="V424" s="9" t="s">
        <v>15</v>
      </c>
      <c r="W424" s="9" t="s">
        <v>15</v>
      </c>
      <c r="X424" s="9" t="s">
        <v>15</v>
      </c>
      <c r="Y424" s="9" t="s">
        <v>15</v>
      </c>
      <c r="Z424" s="9" t="s">
        <v>15</v>
      </c>
      <c r="AA424" s="9" t="s">
        <v>15</v>
      </c>
      <c r="AB424" s="9" t="s">
        <v>15</v>
      </c>
      <c r="AC424" s="9" t="s">
        <v>15</v>
      </c>
    </row>
    <row r="425" spans="1:29" s="38" customFormat="1" ht="114.75" customHeight="1" x14ac:dyDescent="0.25">
      <c r="A425" s="158" t="s">
        <v>48</v>
      </c>
      <c r="B425" s="87" t="s">
        <v>303</v>
      </c>
      <c r="C425" s="203" t="s">
        <v>4</v>
      </c>
      <c r="D425" s="203" t="s">
        <v>396</v>
      </c>
      <c r="E425" s="203" t="s">
        <v>396</v>
      </c>
      <c r="F425" s="206">
        <v>44051.7</v>
      </c>
      <c r="G425" s="83">
        <v>14683.9</v>
      </c>
      <c r="H425" s="83">
        <v>2055.6999999999998</v>
      </c>
      <c r="I425" s="83">
        <v>0</v>
      </c>
      <c r="J425" s="83">
        <v>15000</v>
      </c>
      <c r="K425" s="83">
        <v>5000</v>
      </c>
      <c r="L425" s="83">
        <v>700</v>
      </c>
      <c r="M425" s="83">
        <v>0</v>
      </c>
      <c r="N425" s="83">
        <v>0</v>
      </c>
      <c r="O425" s="83">
        <v>0</v>
      </c>
      <c r="P425" s="83">
        <v>0</v>
      </c>
      <c r="Q425" s="83">
        <v>0</v>
      </c>
      <c r="R425" s="98">
        <v>2022</v>
      </c>
      <c r="S425" s="98">
        <v>2024</v>
      </c>
      <c r="T425" s="82" t="s">
        <v>15</v>
      </c>
      <c r="U425" s="82" t="s">
        <v>105</v>
      </c>
      <c r="V425" s="99" t="str">
        <f>T425</f>
        <v>x</v>
      </c>
      <c r="W425" s="82" t="s">
        <v>401</v>
      </c>
      <c r="X425" s="99" t="s">
        <v>402</v>
      </c>
      <c r="Y425" s="98">
        <v>2024</v>
      </c>
      <c r="Z425" s="99">
        <v>106031.1</v>
      </c>
      <c r="AA425" s="203" t="s">
        <v>404</v>
      </c>
      <c r="AB425" s="203" t="s">
        <v>981</v>
      </c>
      <c r="AC425" s="203" t="s">
        <v>403</v>
      </c>
    </row>
    <row r="426" spans="1:29" s="3" customFormat="1" ht="36.75" customHeight="1" x14ac:dyDescent="0.25">
      <c r="A426" s="141" t="s">
        <v>49</v>
      </c>
      <c r="B426" s="172" t="s">
        <v>1176</v>
      </c>
      <c r="C426" s="220" t="s">
        <v>39</v>
      </c>
      <c r="D426" s="220" t="s">
        <v>396</v>
      </c>
      <c r="E426" s="220" t="s">
        <v>396</v>
      </c>
      <c r="F426" s="144">
        <f>F427+F428</f>
        <v>31325.495799999997</v>
      </c>
      <c r="G426" s="144">
        <f t="shared" ref="G426:Q426" si="146">G427+G428</f>
        <v>0</v>
      </c>
      <c r="H426" s="144">
        <f t="shared" si="146"/>
        <v>0</v>
      </c>
      <c r="I426" s="144">
        <f t="shared" si="146"/>
        <v>0</v>
      </c>
      <c r="J426" s="144">
        <f t="shared" si="146"/>
        <v>87874.5</v>
      </c>
      <c r="K426" s="144">
        <f t="shared" si="146"/>
        <v>0</v>
      </c>
      <c r="L426" s="144">
        <f t="shared" si="146"/>
        <v>0</v>
      </c>
      <c r="M426" s="144">
        <f t="shared" si="146"/>
        <v>0</v>
      </c>
      <c r="N426" s="144">
        <f t="shared" si="146"/>
        <v>0</v>
      </c>
      <c r="O426" s="144">
        <f t="shared" si="146"/>
        <v>0</v>
      </c>
      <c r="P426" s="144">
        <f t="shared" si="146"/>
        <v>0</v>
      </c>
      <c r="Q426" s="144">
        <f t="shared" si="146"/>
        <v>0</v>
      </c>
      <c r="R426" s="208" t="s">
        <v>15</v>
      </c>
      <c r="S426" s="208" t="s">
        <v>15</v>
      </c>
      <c r="T426" s="82" t="s">
        <v>15</v>
      </c>
      <c r="U426" s="208" t="s">
        <v>15</v>
      </c>
      <c r="V426" s="208" t="s">
        <v>15</v>
      </c>
      <c r="W426" s="208" t="s">
        <v>15</v>
      </c>
      <c r="X426" s="208" t="s">
        <v>15</v>
      </c>
      <c r="Y426" s="208" t="s">
        <v>15</v>
      </c>
      <c r="Z426" s="208" t="s">
        <v>15</v>
      </c>
      <c r="AA426" s="208" t="s">
        <v>15</v>
      </c>
      <c r="AB426" s="208" t="s">
        <v>15</v>
      </c>
      <c r="AC426" s="208" t="s">
        <v>15</v>
      </c>
    </row>
    <row r="427" spans="1:29" s="181" customFormat="1" ht="141.75" customHeight="1" x14ac:dyDescent="0.25">
      <c r="A427" s="147" t="s">
        <v>655</v>
      </c>
      <c r="B427" s="179" t="s">
        <v>191</v>
      </c>
      <c r="C427" s="220"/>
      <c r="D427" s="220"/>
      <c r="E427" s="220"/>
      <c r="F427" s="144">
        <v>13445.7731</v>
      </c>
      <c r="G427" s="144">
        <v>0</v>
      </c>
      <c r="H427" s="144">
        <v>0</v>
      </c>
      <c r="I427" s="144">
        <v>0</v>
      </c>
      <c r="J427" s="144">
        <v>87874.5</v>
      </c>
      <c r="K427" s="144">
        <v>0</v>
      </c>
      <c r="L427" s="144">
        <v>0</v>
      </c>
      <c r="M427" s="144">
        <v>0</v>
      </c>
      <c r="N427" s="144">
        <v>0</v>
      </c>
      <c r="O427" s="144">
        <v>0</v>
      </c>
      <c r="P427" s="144">
        <v>0</v>
      </c>
      <c r="Q427" s="144">
        <v>0</v>
      </c>
      <c r="R427" s="180">
        <v>2023</v>
      </c>
      <c r="S427" s="180">
        <v>2024</v>
      </c>
      <c r="T427" s="82" t="s">
        <v>15</v>
      </c>
      <c r="U427" s="152" t="s">
        <v>105</v>
      </c>
      <c r="V427" s="152" t="str">
        <f>T427</f>
        <v>x</v>
      </c>
      <c r="W427" s="152" t="s">
        <v>11</v>
      </c>
      <c r="X427" s="152" t="s">
        <v>398</v>
      </c>
      <c r="Y427" s="180">
        <v>2024</v>
      </c>
      <c r="Z427" s="152">
        <v>104226.58</v>
      </c>
      <c r="AA427" s="220" t="s">
        <v>405</v>
      </c>
      <c r="AB427" s="220" t="s">
        <v>982</v>
      </c>
      <c r="AC427" s="220" t="s">
        <v>400</v>
      </c>
    </row>
    <row r="428" spans="1:29" s="181" customFormat="1" ht="68.25" customHeight="1" x14ac:dyDescent="0.25">
      <c r="A428" s="141" t="s">
        <v>656</v>
      </c>
      <c r="B428" s="179" t="s">
        <v>192</v>
      </c>
      <c r="C428" s="220"/>
      <c r="D428" s="220"/>
      <c r="E428" s="220"/>
      <c r="F428" s="144">
        <v>17879.722699999998</v>
      </c>
      <c r="G428" s="144">
        <v>0</v>
      </c>
      <c r="H428" s="144">
        <v>0</v>
      </c>
      <c r="I428" s="144">
        <v>0</v>
      </c>
      <c r="J428" s="144">
        <v>0</v>
      </c>
      <c r="K428" s="144">
        <v>0</v>
      </c>
      <c r="L428" s="144">
        <v>0</v>
      </c>
      <c r="M428" s="144">
        <v>0</v>
      </c>
      <c r="N428" s="144">
        <v>0</v>
      </c>
      <c r="O428" s="144">
        <v>0</v>
      </c>
      <c r="P428" s="144">
        <v>0</v>
      </c>
      <c r="Q428" s="144">
        <v>0</v>
      </c>
      <c r="R428" s="180">
        <v>2022</v>
      </c>
      <c r="S428" s="180">
        <v>2023</v>
      </c>
      <c r="T428" s="82" t="s">
        <v>15</v>
      </c>
      <c r="U428" s="152" t="s">
        <v>105</v>
      </c>
      <c r="V428" s="152" t="str">
        <f>T428</f>
        <v>x</v>
      </c>
      <c r="W428" s="152" t="s">
        <v>11</v>
      </c>
      <c r="X428" s="152" t="s">
        <v>399</v>
      </c>
      <c r="Y428" s="180">
        <v>2024</v>
      </c>
      <c r="Z428" s="152">
        <v>34015.06</v>
      </c>
      <c r="AA428" s="220"/>
      <c r="AB428" s="220"/>
      <c r="AC428" s="220"/>
    </row>
    <row r="429" spans="1:29" s="22" customFormat="1" ht="58.5" customHeight="1" x14ac:dyDescent="0.25">
      <c r="A429" s="2" t="s">
        <v>29</v>
      </c>
      <c r="B429" s="4" t="s">
        <v>31</v>
      </c>
      <c r="C429" s="9" t="s">
        <v>15</v>
      </c>
      <c r="D429" s="9" t="s">
        <v>15</v>
      </c>
      <c r="E429" s="9" t="s">
        <v>15</v>
      </c>
      <c r="F429" s="8">
        <f>F430</f>
        <v>22495.054950000002</v>
      </c>
      <c r="G429" s="8">
        <f t="shared" ref="G429:Q429" si="147">G430</f>
        <v>0</v>
      </c>
      <c r="H429" s="8">
        <f t="shared" si="147"/>
        <v>0</v>
      </c>
      <c r="I429" s="8">
        <f t="shared" si="147"/>
        <v>0</v>
      </c>
      <c r="J429" s="8">
        <f t="shared" si="147"/>
        <v>20459.85787</v>
      </c>
      <c r="K429" s="8">
        <f t="shared" si="147"/>
        <v>0</v>
      </c>
      <c r="L429" s="8">
        <f t="shared" si="147"/>
        <v>0</v>
      </c>
      <c r="M429" s="8">
        <f t="shared" si="147"/>
        <v>0</v>
      </c>
      <c r="N429" s="8">
        <f t="shared" si="147"/>
        <v>0</v>
      </c>
      <c r="O429" s="8">
        <f t="shared" si="147"/>
        <v>0</v>
      </c>
      <c r="P429" s="8">
        <f t="shared" si="147"/>
        <v>0</v>
      </c>
      <c r="Q429" s="8">
        <f t="shared" si="147"/>
        <v>0</v>
      </c>
      <c r="R429" s="9" t="s">
        <v>15</v>
      </c>
      <c r="S429" s="9" t="s">
        <v>15</v>
      </c>
      <c r="T429" s="9" t="s">
        <v>15</v>
      </c>
      <c r="U429" s="9" t="s">
        <v>15</v>
      </c>
      <c r="V429" s="9" t="s">
        <v>15</v>
      </c>
      <c r="W429" s="9" t="s">
        <v>15</v>
      </c>
      <c r="X429" s="9" t="s">
        <v>15</v>
      </c>
      <c r="Y429" s="9" t="s">
        <v>15</v>
      </c>
      <c r="Z429" s="9" t="s">
        <v>15</v>
      </c>
      <c r="AA429" s="9" t="s">
        <v>15</v>
      </c>
      <c r="AB429" s="9" t="s">
        <v>15</v>
      </c>
      <c r="AC429" s="9" t="s">
        <v>15</v>
      </c>
    </row>
    <row r="430" spans="1:29" s="37" customFormat="1" ht="60.75" customHeight="1" x14ac:dyDescent="0.25">
      <c r="A430" s="13" t="s">
        <v>1</v>
      </c>
      <c r="B430" s="35" t="s">
        <v>302</v>
      </c>
      <c r="C430" s="36" t="s">
        <v>15</v>
      </c>
      <c r="D430" s="36" t="s">
        <v>15</v>
      </c>
      <c r="E430" s="36" t="s">
        <v>15</v>
      </c>
      <c r="F430" s="20">
        <f>F431</f>
        <v>22495.054950000002</v>
      </c>
      <c r="G430" s="20">
        <f t="shared" ref="G430:Q430" si="148">G431</f>
        <v>0</v>
      </c>
      <c r="H430" s="20">
        <f t="shared" si="148"/>
        <v>0</v>
      </c>
      <c r="I430" s="20">
        <f t="shared" si="148"/>
        <v>0</v>
      </c>
      <c r="J430" s="20">
        <f t="shared" si="148"/>
        <v>20459.85787</v>
      </c>
      <c r="K430" s="20">
        <f t="shared" si="148"/>
        <v>0</v>
      </c>
      <c r="L430" s="20">
        <f t="shared" si="148"/>
        <v>0</v>
      </c>
      <c r="M430" s="20">
        <f t="shared" si="148"/>
        <v>0</v>
      </c>
      <c r="N430" s="20">
        <f t="shared" si="148"/>
        <v>0</v>
      </c>
      <c r="O430" s="20">
        <f t="shared" si="148"/>
        <v>0</v>
      </c>
      <c r="P430" s="20">
        <f t="shared" si="148"/>
        <v>0</v>
      </c>
      <c r="Q430" s="20">
        <f t="shared" si="148"/>
        <v>0</v>
      </c>
      <c r="R430" s="36" t="s">
        <v>15</v>
      </c>
      <c r="S430" s="36" t="s">
        <v>15</v>
      </c>
      <c r="T430" s="82" t="s">
        <v>15</v>
      </c>
      <c r="U430" s="36" t="s">
        <v>15</v>
      </c>
      <c r="V430" s="36" t="s">
        <v>15</v>
      </c>
      <c r="W430" s="36" t="s">
        <v>15</v>
      </c>
      <c r="X430" s="36" t="s">
        <v>15</v>
      </c>
      <c r="Y430" s="36" t="s">
        <v>15</v>
      </c>
      <c r="Z430" s="36" t="s">
        <v>15</v>
      </c>
      <c r="AA430" s="36" t="s">
        <v>15</v>
      </c>
      <c r="AB430" s="36" t="s">
        <v>15</v>
      </c>
      <c r="AC430" s="36" t="s">
        <v>15</v>
      </c>
    </row>
    <row r="431" spans="1:29" s="3" customFormat="1" ht="40.5" customHeight="1" x14ac:dyDescent="0.25">
      <c r="A431" s="141" t="s">
        <v>25</v>
      </c>
      <c r="B431" s="172" t="s">
        <v>190</v>
      </c>
      <c r="C431" s="220" t="s">
        <v>39</v>
      </c>
      <c r="D431" s="220" t="s">
        <v>396</v>
      </c>
      <c r="E431" s="220" t="s">
        <v>396</v>
      </c>
      <c r="F431" s="144">
        <f>F432+F433</f>
        <v>22495.054950000002</v>
      </c>
      <c r="G431" s="144">
        <f t="shared" ref="G431:Q431" si="149">G432+G433</f>
        <v>0</v>
      </c>
      <c r="H431" s="144">
        <f t="shared" si="149"/>
        <v>0</v>
      </c>
      <c r="I431" s="144">
        <f t="shared" si="149"/>
        <v>0</v>
      </c>
      <c r="J431" s="144">
        <f t="shared" si="149"/>
        <v>20459.85787</v>
      </c>
      <c r="K431" s="144">
        <f t="shared" si="149"/>
        <v>0</v>
      </c>
      <c r="L431" s="144">
        <f t="shared" si="149"/>
        <v>0</v>
      </c>
      <c r="M431" s="144">
        <f t="shared" si="149"/>
        <v>0</v>
      </c>
      <c r="N431" s="144">
        <f t="shared" si="149"/>
        <v>0</v>
      </c>
      <c r="O431" s="144">
        <f t="shared" si="149"/>
        <v>0</v>
      </c>
      <c r="P431" s="144">
        <f t="shared" si="149"/>
        <v>0</v>
      </c>
      <c r="Q431" s="144">
        <f t="shared" si="149"/>
        <v>0</v>
      </c>
      <c r="R431" s="208" t="s">
        <v>77</v>
      </c>
      <c r="S431" s="208" t="s">
        <v>77</v>
      </c>
      <c r="T431" s="82" t="s">
        <v>15</v>
      </c>
      <c r="U431" s="208" t="s">
        <v>77</v>
      </c>
      <c r="V431" s="208" t="s">
        <v>77</v>
      </c>
      <c r="W431" s="208" t="s">
        <v>77</v>
      </c>
      <c r="X431" s="208" t="s">
        <v>77</v>
      </c>
      <c r="Y431" s="208" t="s">
        <v>77</v>
      </c>
      <c r="Z431" s="208" t="s">
        <v>77</v>
      </c>
      <c r="AA431" s="208" t="s">
        <v>77</v>
      </c>
      <c r="AB431" s="208" t="s">
        <v>77</v>
      </c>
      <c r="AC431" s="208" t="s">
        <v>77</v>
      </c>
    </row>
    <row r="432" spans="1:29" s="181" customFormat="1" ht="40.5" customHeight="1" x14ac:dyDescent="0.25">
      <c r="A432" s="157" t="s">
        <v>293</v>
      </c>
      <c r="B432" s="179" t="s">
        <v>193</v>
      </c>
      <c r="C432" s="220"/>
      <c r="D432" s="220"/>
      <c r="E432" s="220"/>
      <c r="F432" s="144">
        <v>20582.354950000001</v>
      </c>
      <c r="G432" s="144">
        <v>0</v>
      </c>
      <c r="H432" s="144">
        <v>0</v>
      </c>
      <c r="I432" s="144">
        <v>0</v>
      </c>
      <c r="J432" s="144">
        <v>20459.85787</v>
      </c>
      <c r="K432" s="144">
        <v>0</v>
      </c>
      <c r="L432" s="144">
        <v>0</v>
      </c>
      <c r="M432" s="144">
        <v>0</v>
      </c>
      <c r="N432" s="144">
        <v>0</v>
      </c>
      <c r="O432" s="144">
        <v>0</v>
      </c>
      <c r="P432" s="144">
        <v>0</v>
      </c>
      <c r="Q432" s="144">
        <v>0</v>
      </c>
      <c r="R432" s="180">
        <v>2020</v>
      </c>
      <c r="S432" s="180">
        <v>2024</v>
      </c>
      <c r="T432" s="82" t="s">
        <v>15</v>
      </c>
      <c r="U432" s="208" t="s">
        <v>105</v>
      </c>
      <c r="V432" s="152" t="s">
        <v>406</v>
      </c>
      <c r="W432" s="208" t="s">
        <v>11</v>
      </c>
      <c r="X432" s="208" t="s">
        <v>407</v>
      </c>
      <c r="Y432" s="208">
        <v>2024</v>
      </c>
      <c r="Z432" s="152">
        <v>82152.55</v>
      </c>
      <c r="AA432" s="220" t="s">
        <v>321</v>
      </c>
      <c r="AB432" s="220" t="s">
        <v>982</v>
      </c>
      <c r="AC432" s="220" t="s">
        <v>400</v>
      </c>
    </row>
    <row r="433" spans="1:29" s="181" customFormat="1" ht="54.75" customHeight="1" x14ac:dyDescent="0.25">
      <c r="A433" s="157" t="s">
        <v>297</v>
      </c>
      <c r="B433" s="179" t="s">
        <v>194</v>
      </c>
      <c r="C433" s="220"/>
      <c r="D433" s="220"/>
      <c r="E433" s="220"/>
      <c r="F433" s="144">
        <v>1912.7</v>
      </c>
      <c r="G433" s="144">
        <v>0</v>
      </c>
      <c r="H433" s="144">
        <v>0</v>
      </c>
      <c r="I433" s="144">
        <v>0</v>
      </c>
      <c r="J433" s="144">
        <v>0</v>
      </c>
      <c r="K433" s="144">
        <v>0</v>
      </c>
      <c r="L433" s="144">
        <v>0</v>
      </c>
      <c r="M433" s="144">
        <v>0</v>
      </c>
      <c r="N433" s="144">
        <v>0</v>
      </c>
      <c r="O433" s="144">
        <v>0</v>
      </c>
      <c r="P433" s="144">
        <v>0</v>
      </c>
      <c r="Q433" s="144">
        <v>0</v>
      </c>
      <c r="R433" s="180">
        <v>2022</v>
      </c>
      <c r="S433" s="180">
        <v>2023</v>
      </c>
      <c r="T433" s="82" t="s">
        <v>15</v>
      </c>
      <c r="U433" s="208" t="s">
        <v>105</v>
      </c>
      <c r="V433" s="208">
        <v>2023</v>
      </c>
      <c r="W433" s="208">
        <v>2023</v>
      </c>
      <c r="X433" s="208">
        <v>2023</v>
      </c>
      <c r="Y433" s="208" t="s">
        <v>77</v>
      </c>
      <c r="Z433" s="208" t="s">
        <v>77</v>
      </c>
      <c r="AA433" s="220"/>
      <c r="AB433" s="220"/>
      <c r="AC433" s="220"/>
    </row>
    <row r="434" spans="1:29" s="49" customFormat="1" ht="90.75" customHeight="1" x14ac:dyDescent="0.3">
      <c r="A434" s="29" t="s">
        <v>247</v>
      </c>
      <c r="B434" s="30" t="s">
        <v>393</v>
      </c>
      <c r="C434" s="29" t="s">
        <v>15</v>
      </c>
      <c r="D434" s="29" t="s">
        <v>15</v>
      </c>
      <c r="E434" s="29" t="s">
        <v>15</v>
      </c>
      <c r="F434" s="31">
        <f>F435</f>
        <v>6241.1</v>
      </c>
      <c r="G434" s="31">
        <f t="shared" ref="G434:Q434" si="150">G435</f>
        <v>2080.4</v>
      </c>
      <c r="H434" s="31">
        <f t="shared" si="150"/>
        <v>0</v>
      </c>
      <c r="I434" s="31">
        <f t="shared" si="150"/>
        <v>0</v>
      </c>
      <c r="J434" s="31">
        <f t="shared" si="150"/>
        <v>3897.5</v>
      </c>
      <c r="K434" s="31">
        <f t="shared" si="150"/>
        <v>1299.2</v>
      </c>
      <c r="L434" s="31">
        <f t="shared" si="150"/>
        <v>0</v>
      </c>
      <c r="M434" s="31">
        <f t="shared" si="150"/>
        <v>0</v>
      </c>
      <c r="N434" s="31">
        <f t="shared" si="150"/>
        <v>0</v>
      </c>
      <c r="O434" s="31">
        <f t="shared" si="150"/>
        <v>0</v>
      </c>
      <c r="P434" s="31">
        <f t="shared" si="150"/>
        <v>0</v>
      </c>
      <c r="Q434" s="31">
        <f t="shared" si="150"/>
        <v>0</v>
      </c>
      <c r="R434" s="29" t="s">
        <v>15</v>
      </c>
      <c r="S434" s="29" t="s">
        <v>15</v>
      </c>
      <c r="T434" s="29" t="s">
        <v>15</v>
      </c>
      <c r="U434" s="29" t="s">
        <v>15</v>
      </c>
      <c r="V434" s="29" t="s">
        <v>15</v>
      </c>
      <c r="W434" s="29" t="s">
        <v>15</v>
      </c>
      <c r="X434" s="29" t="s">
        <v>15</v>
      </c>
      <c r="Y434" s="29" t="s">
        <v>15</v>
      </c>
      <c r="Z434" s="29" t="s">
        <v>15</v>
      </c>
      <c r="AA434" s="29" t="s">
        <v>15</v>
      </c>
      <c r="AB434" s="29" t="s">
        <v>15</v>
      </c>
      <c r="AC434" s="29" t="s">
        <v>15</v>
      </c>
    </row>
    <row r="435" spans="1:29" ht="56.25" customHeight="1" x14ac:dyDescent="0.25">
      <c r="A435" s="2" t="s">
        <v>2</v>
      </c>
      <c r="B435" s="4" t="s">
        <v>31</v>
      </c>
      <c r="C435" s="2" t="s">
        <v>15</v>
      </c>
      <c r="D435" s="2" t="s">
        <v>15</v>
      </c>
      <c r="E435" s="2" t="s">
        <v>15</v>
      </c>
      <c r="F435" s="23">
        <f>F436</f>
        <v>6241.1</v>
      </c>
      <c r="G435" s="23">
        <f t="shared" ref="G435:Q435" si="151">G436</f>
        <v>2080.4</v>
      </c>
      <c r="H435" s="23">
        <f t="shared" si="151"/>
        <v>0</v>
      </c>
      <c r="I435" s="23">
        <f t="shared" si="151"/>
        <v>0</v>
      </c>
      <c r="J435" s="23">
        <f t="shared" si="151"/>
        <v>3897.5</v>
      </c>
      <c r="K435" s="23">
        <f t="shared" si="151"/>
        <v>1299.2</v>
      </c>
      <c r="L435" s="23">
        <f t="shared" si="151"/>
        <v>0</v>
      </c>
      <c r="M435" s="23">
        <f t="shared" si="151"/>
        <v>0</v>
      </c>
      <c r="N435" s="23">
        <f t="shared" si="151"/>
        <v>0</v>
      </c>
      <c r="O435" s="23">
        <f t="shared" si="151"/>
        <v>0</v>
      </c>
      <c r="P435" s="23">
        <f t="shared" si="151"/>
        <v>0</v>
      </c>
      <c r="Q435" s="23">
        <f t="shared" si="151"/>
        <v>0</v>
      </c>
      <c r="R435" s="2" t="s">
        <v>15</v>
      </c>
      <c r="S435" s="2" t="s">
        <v>15</v>
      </c>
      <c r="T435" s="2" t="s">
        <v>15</v>
      </c>
      <c r="U435" s="2" t="s">
        <v>15</v>
      </c>
      <c r="V435" s="2" t="s">
        <v>15</v>
      </c>
      <c r="W435" s="2" t="s">
        <v>15</v>
      </c>
      <c r="X435" s="2" t="s">
        <v>15</v>
      </c>
      <c r="Y435" s="2" t="s">
        <v>15</v>
      </c>
      <c r="Z435" s="2" t="s">
        <v>15</v>
      </c>
      <c r="AA435" s="2" t="s">
        <v>15</v>
      </c>
      <c r="AB435" s="2" t="s">
        <v>15</v>
      </c>
      <c r="AC435" s="2" t="s">
        <v>15</v>
      </c>
    </row>
    <row r="436" spans="1:29" s="64" customFormat="1" ht="56.25" customHeight="1" x14ac:dyDescent="0.25">
      <c r="A436" s="73" t="s">
        <v>1</v>
      </c>
      <c r="B436" s="35" t="s">
        <v>320</v>
      </c>
      <c r="C436" s="13" t="s">
        <v>15</v>
      </c>
      <c r="D436" s="13" t="s">
        <v>15</v>
      </c>
      <c r="E436" s="13" t="s">
        <v>15</v>
      </c>
      <c r="F436" s="69">
        <f>F437</f>
        <v>6241.1</v>
      </c>
      <c r="G436" s="69">
        <f t="shared" ref="G436:Q436" si="152">G437</f>
        <v>2080.4</v>
      </c>
      <c r="H436" s="69">
        <f t="shared" si="152"/>
        <v>0</v>
      </c>
      <c r="I436" s="69">
        <f t="shared" si="152"/>
        <v>0</v>
      </c>
      <c r="J436" s="69">
        <f t="shared" si="152"/>
        <v>3897.5</v>
      </c>
      <c r="K436" s="69">
        <f t="shared" si="152"/>
        <v>1299.2</v>
      </c>
      <c r="L436" s="69">
        <f t="shared" si="152"/>
        <v>0</v>
      </c>
      <c r="M436" s="69">
        <f t="shared" si="152"/>
        <v>0</v>
      </c>
      <c r="N436" s="69">
        <f t="shared" si="152"/>
        <v>0</v>
      </c>
      <c r="O436" s="69">
        <f t="shared" si="152"/>
        <v>0</v>
      </c>
      <c r="P436" s="69">
        <f t="shared" si="152"/>
        <v>0</v>
      </c>
      <c r="Q436" s="69">
        <f t="shared" si="152"/>
        <v>0</v>
      </c>
      <c r="R436" s="13" t="s">
        <v>15</v>
      </c>
      <c r="S436" s="13" t="s">
        <v>15</v>
      </c>
      <c r="T436" s="13" t="s">
        <v>15</v>
      </c>
      <c r="U436" s="13" t="s">
        <v>15</v>
      </c>
      <c r="V436" s="13" t="s">
        <v>15</v>
      </c>
      <c r="W436" s="13" t="s">
        <v>15</v>
      </c>
      <c r="X436" s="13" t="s">
        <v>15</v>
      </c>
      <c r="Y436" s="13" t="s">
        <v>15</v>
      </c>
      <c r="Z436" s="13" t="s">
        <v>15</v>
      </c>
      <c r="AA436" s="13" t="s">
        <v>15</v>
      </c>
      <c r="AB436" s="13" t="s">
        <v>15</v>
      </c>
      <c r="AC436" s="13" t="s">
        <v>15</v>
      </c>
    </row>
    <row r="437" spans="1:29" s="38" customFormat="1" ht="138.75" customHeight="1" x14ac:dyDescent="0.25">
      <c r="A437" s="158" t="s">
        <v>25</v>
      </c>
      <c r="B437" s="87" t="s">
        <v>196</v>
      </c>
      <c r="C437" s="203" t="s">
        <v>4</v>
      </c>
      <c r="D437" s="82" t="s">
        <v>430</v>
      </c>
      <c r="E437" s="82" t="s">
        <v>430</v>
      </c>
      <c r="F437" s="215">
        <v>6241.1</v>
      </c>
      <c r="G437" s="215">
        <v>2080.4</v>
      </c>
      <c r="H437" s="215">
        <v>0</v>
      </c>
      <c r="I437" s="215">
        <v>0</v>
      </c>
      <c r="J437" s="215">
        <v>3897.5</v>
      </c>
      <c r="K437" s="215">
        <v>1299.2</v>
      </c>
      <c r="L437" s="215">
        <v>0</v>
      </c>
      <c r="M437" s="215">
        <v>0</v>
      </c>
      <c r="N437" s="215">
        <v>0</v>
      </c>
      <c r="O437" s="215">
        <v>0</v>
      </c>
      <c r="P437" s="215">
        <v>0</v>
      </c>
      <c r="Q437" s="215">
        <v>0</v>
      </c>
      <c r="R437" s="82" t="s">
        <v>77</v>
      </c>
      <c r="S437" s="82" t="s">
        <v>77</v>
      </c>
      <c r="T437" s="82" t="s">
        <v>15</v>
      </c>
      <c r="U437" s="82" t="s">
        <v>77</v>
      </c>
      <c r="V437" s="82" t="s">
        <v>77</v>
      </c>
      <c r="W437" s="82" t="s">
        <v>77</v>
      </c>
      <c r="X437" s="82" t="s">
        <v>77</v>
      </c>
      <c r="Y437" s="82" t="s">
        <v>77</v>
      </c>
      <c r="Z437" s="82" t="s">
        <v>77</v>
      </c>
      <c r="AA437" s="203" t="s">
        <v>432</v>
      </c>
      <c r="AB437" s="203" t="s">
        <v>77</v>
      </c>
      <c r="AC437" s="203" t="s">
        <v>431</v>
      </c>
    </row>
    <row r="438" spans="1:29" s="49" customFormat="1" ht="82.5" customHeight="1" x14ac:dyDescent="0.3">
      <c r="A438" s="29" t="s">
        <v>248</v>
      </c>
      <c r="B438" s="30" t="s">
        <v>394</v>
      </c>
      <c r="C438" s="29" t="s">
        <v>15</v>
      </c>
      <c r="D438" s="29" t="s">
        <v>15</v>
      </c>
      <c r="E438" s="29" t="s">
        <v>15</v>
      </c>
      <c r="F438" s="31">
        <f>F439</f>
        <v>1440.6</v>
      </c>
      <c r="G438" s="31">
        <f t="shared" ref="G438:Q438" si="153">G439</f>
        <v>2066.6</v>
      </c>
      <c r="H438" s="31">
        <f t="shared" si="153"/>
        <v>0</v>
      </c>
      <c r="I438" s="31">
        <f t="shared" si="153"/>
        <v>0</v>
      </c>
      <c r="J438" s="31">
        <f t="shared" si="153"/>
        <v>1451.3</v>
      </c>
      <c r="K438" s="31">
        <f t="shared" si="153"/>
        <v>2066.6</v>
      </c>
      <c r="L438" s="31">
        <f t="shared" si="153"/>
        <v>0</v>
      </c>
      <c r="M438" s="31">
        <f t="shared" si="153"/>
        <v>0</v>
      </c>
      <c r="N438" s="31">
        <f t="shared" si="153"/>
        <v>0</v>
      </c>
      <c r="O438" s="31">
        <f t="shared" si="153"/>
        <v>0</v>
      </c>
      <c r="P438" s="31">
        <f t="shared" si="153"/>
        <v>0</v>
      </c>
      <c r="Q438" s="31">
        <f t="shared" si="153"/>
        <v>0</v>
      </c>
      <c r="R438" s="29" t="s">
        <v>15</v>
      </c>
      <c r="S438" s="29" t="s">
        <v>15</v>
      </c>
      <c r="T438" s="29" t="s">
        <v>15</v>
      </c>
      <c r="U438" s="29" t="s">
        <v>15</v>
      </c>
      <c r="V438" s="29" t="s">
        <v>15</v>
      </c>
      <c r="W438" s="29" t="s">
        <v>15</v>
      </c>
      <c r="X438" s="29" t="s">
        <v>15</v>
      </c>
      <c r="Y438" s="29" t="s">
        <v>15</v>
      </c>
      <c r="Z438" s="29" t="s">
        <v>15</v>
      </c>
      <c r="AA438" s="29" t="s">
        <v>15</v>
      </c>
      <c r="AB438" s="29" t="s">
        <v>15</v>
      </c>
      <c r="AC438" s="29" t="s">
        <v>15</v>
      </c>
    </row>
    <row r="439" spans="1:29" s="58" customFormat="1" ht="238.5" customHeight="1" x14ac:dyDescent="0.25">
      <c r="A439" s="2" t="s">
        <v>1</v>
      </c>
      <c r="B439" s="4" t="s">
        <v>103</v>
      </c>
      <c r="C439" s="2" t="s">
        <v>15</v>
      </c>
      <c r="D439" s="2" t="s">
        <v>15</v>
      </c>
      <c r="E439" s="2" t="s">
        <v>15</v>
      </c>
      <c r="F439" s="23">
        <f>F440+F441</f>
        <v>1440.6</v>
      </c>
      <c r="G439" s="23">
        <f t="shared" ref="G439:Q439" si="154">G440+G441</f>
        <v>2066.6</v>
      </c>
      <c r="H439" s="23">
        <f t="shared" si="154"/>
        <v>0</v>
      </c>
      <c r="I439" s="23">
        <f t="shared" si="154"/>
        <v>0</v>
      </c>
      <c r="J439" s="23">
        <f t="shared" si="154"/>
        <v>1451.3</v>
      </c>
      <c r="K439" s="23">
        <f t="shared" si="154"/>
        <v>2066.6</v>
      </c>
      <c r="L439" s="23">
        <f t="shared" si="154"/>
        <v>0</v>
      </c>
      <c r="M439" s="23">
        <f t="shared" si="154"/>
        <v>0</v>
      </c>
      <c r="N439" s="23">
        <f t="shared" si="154"/>
        <v>0</v>
      </c>
      <c r="O439" s="23">
        <f t="shared" si="154"/>
        <v>0</v>
      </c>
      <c r="P439" s="23">
        <f t="shared" si="154"/>
        <v>0</v>
      </c>
      <c r="Q439" s="23">
        <f t="shared" si="154"/>
        <v>0</v>
      </c>
      <c r="R439" s="2" t="s">
        <v>15</v>
      </c>
      <c r="S439" s="2" t="s">
        <v>15</v>
      </c>
      <c r="T439" s="2" t="s">
        <v>15</v>
      </c>
      <c r="U439" s="2" t="s">
        <v>15</v>
      </c>
      <c r="V439" s="2" t="s">
        <v>15</v>
      </c>
      <c r="W439" s="2" t="s">
        <v>15</v>
      </c>
      <c r="X439" s="2" t="s">
        <v>15</v>
      </c>
      <c r="Y439" s="2" t="s">
        <v>15</v>
      </c>
      <c r="Z439" s="2" t="s">
        <v>15</v>
      </c>
      <c r="AA439" s="2" t="s">
        <v>15</v>
      </c>
      <c r="AB439" s="2" t="s">
        <v>15</v>
      </c>
      <c r="AC439" s="2" t="s">
        <v>15</v>
      </c>
    </row>
    <row r="440" spans="1:29" s="47" customFormat="1" ht="159" customHeight="1" x14ac:dyDescent="0.25">
      <c r="A440" s="82" t="s">
        <v>25</v>
      </c>
      <c r="B440" s="96" t="s">
        <v>696</v>
      </c>
      <c r="C440" s="82" t="s">
        <v>4</v>
      </c>
      <c r="D440" s="82" t="s">
        <v>371</v>
      </c>
      <c r="E440" s="82" t="s">
        <v>371</v>
      </c>
      <c r="F440" s="83">
        <v>1440.6</v>
      </c>
      <c r="G440" s="83">
        <v>2066.6</v>
      </c>
      <c r="H440" s="83">
        <v>0</v>
      </c>
      <c r="I440" s="83">
        <v>0</v>
      </c>
      <c r="J440" s="83">
        <v>1451.3</v>
      </c>
      <c r="K440" s="83">
        <v>2066.6</v>
      </c>
      <c r="L440" s="83">
        <v>0</v>
      </c>
      <c r="M440" s="83">
        <v>0</v>
      </c>
      <c r="N440" s="83">
        <v>0</v>
      </c>
      <c r="O440" s="83">
        <v>0</v>
      </c>
      <c r="P440" s="83">
        <v>0</v>
      </c>
      <c r="Q440" s="83">
        <v>0</v>
      </c>
      <c r="R440" s="82" t="s">
        <v>15</v>
      </c>
      <c r="S440" s="82" t="s">
        <v>15</v>
      </c>
      <c r="T440" s="82" t="s">
        <v>15</v>
      </c>
      <c r="U440" s="82" t="s">
        <v>15</v>
      </c>
      <c r="V440" s="82" t="s">
        <v>15</v>
      </c>
      <c r="W440" s="82" t="s">
        <v>15</v>
      </c>
      <c r="X440" s="82" t="s">
        <v>15</v>
      </c>
      <c r="Y440" s="82" t="s">
        <v>15</v>
      </c>
      <c r="Z440" s="82" t="s">
        <v>15</v>
      </c>
      <c r="AA440" s="204" t="s">
        <v>388</v>
      </c>
      <c r="AB440" s="203" t="s">
        <v>511</v>
      </c>
      <c r="AC440" s="203" t="s">
        <v>77</v>
      </c>
    </row>
    <row r="441" spans="1:29" s="3" customFormat="1" ht="303" customHeight="1" x14ac:dyDescent="0.25">
      <c r="A441" s="158" t="s">
        <v>78</v>
      </c>
      <c r="B441" s="87" t="s">
        <v>153</v>
      </c>
      <c r="C441" s="203" t="s">
        <v>4</v>
      </c>
      <c r="D441" s="82" t="s">
        <v>691</v>
      </c>
      <c r="E441" s="82" t="s">
        <v>449</v>
      </c>
      <c r="F441" s="206">
        <v>0</v>
      </c>
      <c r="G441" s="206">
        <v>0</v>
      </c>
      <c r="H441" s="206">
        <v>0</v>
      </c>
      <c r="I441" s="206">
        <v>0</v>
      </c>
      <c r="J441" s="206">
        <v>0</v>
      </c>
      <c r="K441" s="206">
        <v>0</v>
      </c>
      <c r="L441" s="206">
        <v>0</v>
      </c>
      <c r="M441" s="206">
        <v>0</v>
      </c>
      <c r="N441" s="206">
        <v>0</v>
      </c>
      <c r="O441" s="206">
        <v>0</v>
      </c>
      <c r="P441" s="206">
        <v>0</v>
      </c>
      <c r="Q441" s="206">
        <v>0</v>
      </c>
      <c r="R441" s="82" t="s">
        <v>15</v>
      </c>
      <c r="S441" s="82" t="s">
        <v>15</v>
      </c>
      <c r="T441" s="82" t="s">
        <v>15</v>
      </c>
      <c r="U441" s="82" t="s">
        <v>15</v>
      </c>
      <c r="V441" s="82" t="s">
        <v>15</v>
      </c>
      <c r="W441" s="82" t="s">
        <v>15</v>
      </c>
      <c r="X441" s="82" t="s">
        <v>15</v>
      </c>
      <c r="Y441" s="82" t="s">
        <v>15</v>
      </c>
      <c r="Z441" s="82" t="s">
        <v>15</v>
      </c>
      <c r="AA441" s="82" t="s">
        <v>154</v>
      </c>
      <c r="AB441" s="203" t="s">
        <v>511</v>
      </c>
      <c r="AC441" s="82" t="s">
        <v>512</v>
      </c>
    </row>
    <row r="442" spans="1:29" s="48" customFormat="1" ht="139.5" customHeight="1" x14ac:dyDescent="0.3">
      <c r="A442" s="24" t="s">
        <v>249</v>
      </c>
      <c r="B442" s="33" t="s">
        <v>233</v>
      </c>
      <c r="C442" s="25" t="s">
        <v>77</v>
      </c>
      <c r="D442" s="25" t="s">
        <v>77</v>
      </c>
      <c r="E442" s="25" t="s">
        <v>77</v>
      </c>
      <c r="F442" s="56">
        <f>F443</f>
        <v>77600.800000000003</v>
      </c>
      <c r="G442" s="56">
        <f t="shared" ref="G442:Q442" si="155">G443</f>
        <v>25866.966670000005</v>
      </c>
      <c r="H442" s="56">
        <f t="shared" si="155"/>
        <v>0</v>
      </c>
      <c r="I442" s="56">
        <f t="shared" si="155"/>
        <v>0</v>
      </c>
      <c r="J442" s="56">
        <f t="shared" si="155"/>
        <v>79157.5</v>
      </c>
      <c r="K442" s="56">
        <f t="shared" si="155"/>
        <v>26385.866679999996</v>
      </c>
      <c r="L442" s="56">
        <f t="shared" si="155"/>
        <v>0</v>
      </c>
      <c r="M442" s="56">
        <f t="shared" si="155"/>
        <v>0</v>
      </c>
      <c r="N442" s="56">
        <f t="shared" si="155"/>
        <v>0</v>
      </c>
      <c r="O442" s="56">
        <f t="shared" si="155"/>
        <v>0</v>
      </c>
      <c r="P442" s="56">
        <f t="shared" si="155"/>
        <v>0</v>
      </c>
      <c r="Q442" s="56">
        <f t="shared" si="155"/>
        <v>0</v>
      </c>
      <c r="R442" s="25" t="s">
        <v>77</v>
      </c>
      <c r="S442" s="25" t="s">
        <v>77</v>
      </c>
      <c r="T442" s="25" t="s">
        <v>77</v>
      </c>
      <c r="U442" s="25" t="s">
        <v>77</v>
      </c>
      <c r="V442" s="25" t="s">
        <v>77</v>
      </c>
      <c r="W442" s="25" t="s">
        <v>77</v>
      </c>
      <c r="X442" s="25" t="s">
        <v>77</v>
      </c>
      <c r="Y442" s="25" t="s">
        <v>77</v>
      </c>
      <c r="Z442" s="25" t="s">
        <v>77</v>
      </c>
      <c r="AA442" s="25" t="s">
        <v>77</v>
      </c>
      <c r="AB442" s="25" t="s">
        <v>77</v>
      </c>
      <c r="AC442" s="25" t="s">
        <v>77</v>
      </c>
    </row>
    <row r="443" spans="1:29" s="43" customFormat="1" ht="86.25" customHeight="1" x14ac:dyDescent="0.25">
      <c r="A443" s="2" t="s">
        <v>1</v>
      </c>
      <c r="B443" s="4" t="s">
        <v>236</v>
      </c>
      <c r="C443" s="16" t="s">
        <v>77</v>
      </c>
      <c r="D443" s="16" t="s">
        <v>77</v>
      </c>
      <c r="E443" s="16" t="s">
        <v>77</v>
      </c>
      <c r="F443" s="8">
        <f>F444+F445</f>
        <v>77600.800000000003</v>
      </c>
      <c r="G443" s="8">
        <f t="shared" ref="G443:Q443" si="156">G444+G445</f>
        <v>25866.966670000005</v>
      </c>
      <c r="H443" s="8">
        <f t="shared" si="156"/>
        <v>0</v>
      </c>
      <c r="I443" s="8">
        <f t="shared" si="156"/>
        <v>0</v>
      </c>
      <c r="J443" s="8">
        <f t="shared" si="156"/>
        <v>79157.5</v>
      </c>
      <c r="K443" s="8">
        <f t="shared" si="156"/>
        <v>26385.866679999996</v>
      </c>
      <c r="L443" s="8">
        <f t="shared" si="156"/>
        <v>0</v>
      </c>
      <c r="M443" s="8">
        <f t="shared" si="156"/>
        <v>0</v>
      </c>
      <c r="N443" s="8">
        <f t="shared" si="156"/>
        <v>0</v>
      </c>
      <c r="O443" s="8">
        <f t="shared" si="156"/>
        <v>0</v>
      </c>
      <c r="P443" s="8">
        <f t="shared" si="156"/>
        <v>0</v>
      </c>
      <c r="Q443" s="8">
        <f t="shared" si="156"/>
        <v>0</v>
      </c>
      <c r="R443" s="2" t="s">
        <v>77</v>
      </c>
      <c r="S443" s="2" t="s">
        <v>77</v>
      </c>
      <c r="T443" s="2" t="s">
        <v>77</v>
      </c>
      <c r="U443" s="2" t="s">
        <v>77</v>
      </c>
      <c r="V443" s="2" t="s">
        <v>77</v>
      </c>
      <c r="W443" s="2" t="s">
        <v>77</v>
      </c>
      <c r="X443" s="2" t="s">
        <v>77</v>
      </c>
      <c r="Y443" s="2" t="s">
        <v>77</v>
      </c>
      <c r="Z443" s="2" t="s">
        <v>77</v>
      </c>
      <c r="AA443" s="16" t="s">
        <v>77</v>
      </c>
      <c r="AB443" s="16" t="s">
        <v>77</v>
      </c>
      <c r="AC443" s="16" t="s">
        <v>77</v>
      </c>
    </row>
    <row r="444" spans="1:29" s="38" customFormat="1" ht="216" customHeight="1" x14ac:dyDescent="0.25">
      <c r="A444" s="158" t="s">
        <v>25</v>
      </c>
      <c r="B444" s="87" t="s">
        <v>235</v>
      </c>
      <c r="C444" s="203" t="s">
        <v>4</v>
      </c>
      <c r="D444" s="203" t="s">
        <v>353</v>
      </c>
      <c r="E444" s="203" t="s">
        <v>353</v>
      </c>
      <c r="F444" s="206">
        <v>1872.8</v>
      </c>
      <c r="G444" s="206">
        <v>624.29999999999995</v>
      </c>
      <c r="H444" s="206">
        <v>0</v>
      </c>
      <c r="I444" s="206">
        <v>0</v>
      </c>
      <c r="J444" s="206">
        <v>1872.5</v>
      </c>
      <c r="K444" s="206">
        <v>624.19999999999982</v>
      </c>
      <c r="L444" s="206">
        <v>0</v>
      </c>
      <c r="M444" s="206">
        <v>0</v>
      </c>
      <c r="N444" s="206">
        <v>0</v>
      </c>
      <c r="O444" s="206">
        <v>0</v>
      </c>
      <c r="P444" s="206">
        <v>0</v>
      </c>
      <c r="Q444" s="206">
        <v>0</v>
      </c>
      <c r="R444" s="203" t="s">
        <v>77</v>
      </c>
      <c r="S444" s="203" t="s">
        <v>77</v>
      </c>
      <c r="T444" s="203" t="s">
        <v>77</v>
      </c>
      <c r="U444" s="203" t="s">
        <v>77</v>
      </c>
      <c r="V444" s="203" t="s">
        <v>77</v>
      </c>
      <c r="W444" s="203" t="s">
        <v>77</v>
      </c>
      <c r="X444" s="203" t="s">
        <v>77</v>
      </c>
      <c r="Y444" s="203" t="s">
        <v>77</v>
      </c>
      <c r="Z444" s="203" t="s">
        <v>77</v>
      </c>
      <c r="AA444" s="203" t="s">
        <v>516</v>
      </c>
      <c r="AB444" s="203" t="s">
        <v>517</v>
      </c>
      <c r="AC444" s="203" t="s">
        <v>518</v>
      </c>
    </row>
    <row r="445" spans="1:29" s="3" customFormat="1" ht="151.5" customHeight="1" x14ac:dyDescent="0.25">
      <c r="A445" s="141" t="s">
        <v>78</v>
      </c>
      <c r="B445" s="172" t="s">
        <v>1052</v>
      </c>
      <c r="C445" s="205" t="s">
        <v>4</v>
      </c>
      <c r="D445" s="205" t="s">
        <v>353</v>
      </c>
      <c r="E445" s="205" t="s">
        <v>353</v>
      </c>
      <c r="F445" s="144">
        <v>75728</v>
      </c>
      <c r="G445" s="144">
        <v>25242.666670000006</v>
      </c>
      <c r="H445" s="144">
        <v>0</v>
      </c>
      <c r="I445" s="144">
        <v>0</v>
      </c>
      <c r="J445" s="144">
        <v>77285</v>
      </c>
      <c r="K445" s="144">
        <v>25761.666679999995</v>
      </c>
      <c r="L445" s="144">
        <v>0</v>
      </c>
      <c r="M445" s="144">
        <v>0</v>
      </c>
      <c r="N445" s="144">
        <v>0</v>
      </c>
      <c r="O445" s="144">
        <v>0</v>
      </c>
      <c r="P445" s="144">
        <v>0</v>
      </c>
      <c r="Q445" s="144">
        <v>0</v>
      </c>
      <c r="R445" s="205" t="s">
        <v>77</v>
      </c>
      <c r="S445" s="205" t="s">
        <v>77</v>
      </c>
      <c r="T445" s="205" t="s">
        <v>77</v>
      </c>
      <c r="U445" s="205" t="s">
        <v>77</v>
      </c>
      <c r="V445" s="205" t="s">
        <v>77</v>
      </c>
      <c r="W445" s="205" t="s">
        <v>77</v>
      </c>
      <c r="X445" s="205" t="s">
        <v>77</v>
      </c>
      <c r="Y445" s="205" t="s">
        <v>77</v>
      </c>
      <c r="Z445" s="205" t="s">
        <v>77</v>
      </c>
      <c r="AA445" s="205" t="s">
        <v>234</v>
      </c>
      <c r="AB445" s="205" t="s">
        <v>514</v>
      </c>
      <c r="AC445" s="205" t="s">
        <v>515</v>
      </c>
    </row>
    <row r="446" spans="1:29" s="48" customFormat="1" ht="81" customHeight="1" x14ac:dyDescent="0.3">
      <c r="A446" s="24" t="s">
        <v>197</v>
      </c>
      <c r="B446" s="33" t="s">
        <v>549</v>
      </c>
      <c r="C446" s="25" t="s">
        <v>15</v>
      </c>
      <c r="D446" s="25" t="s">
        <v>15</v>
      </c>
      <c r="E446" s="25" t="s">
        <v>15</v>
      </c>
      <c r="F446" s="26">
        <f>F447+F449+F457+F459+F463</f>
        <v>9027664</v>
      </c>
      <c r="G446" s="26">
        <f t="shared" ref="G446:Q446" si="157">G447+G449+G457+G459+G463</f>
        <v>419192.37029000005</v>
      </c>
      <c r="H446" s="26">
        <f t="shared" si="157"/>
        <v>194293.90917</v>
      </c>
      <c r="I446" s="26">
        <f t="shared" si="157"/>
        <v>951055.38710000005</v>
      </c>
      <c r="J446" s="26">
        <f t="shared" si="157"/>
        <v>5685905.5700000003</v>
      </c>
      <c r="K446" s="26">
        <f t="shared" si="157"/>
        <v>230508.5</v>
      </c>
      <c r="L446" s="26">
        <f t="shared" si="157"/>
        <v>51018.539999999994</v>
      </c>
      <c r="M446" s="26">
        <f t="shared" si="157"/>
        <v>328602.49</v>
      </c>
      <c r="N446" s="26">
        <f t="shared" si="157"/>
        <v>2338023.9099999997</v>
      </c>
      <c r="O446" s="26">
        <f t="shared" si="157"/>
        <v>96224.26999999999</v>
      </c>
      <c r="P446" s="26">
        <f t="shared" si="157"/>
        <v>32317.7</v>
      </c>
      <c r="Q446" s="26">
        <f t="shared" si="157"/>
        <v>130475.28</v>
      </c>
      <c r="R446" s="25" t="s">
        <v>15</v>
      </c>
      <c r="S446" s="25" t="s">
        <v>15</v>
      </c>
      <c r="T446" s="25" t="s">
        <v>15</v>
      </c>
      <c r="U446" s="25" t="s">
        <v>15</v>
      </c>
      <c r="V446" s="25" t="s">
        <v>15</v>
      </c>
      <c r="W446" s="25" t="s">
        <v>15</v>
      </c>
      <c r="X446" s="25" t="s">
        <v>15</v>
      </c>
      <c r="Y446" s="25" t="s">
        <v>15</v>
      </c>
      <c r="Z446" s="25" t="s">
        <v>15</v>
      </c>
      <c r="AA446" s="25" t="s">
        <v>15</v>
      </c>
      <c r="AB446" s="25" t="s">
        <v>15</v>
      </c>
      <c r="AC446" s="25" t="s">
        <v>15</v>
      </c>
    </row>
    <row r="447" spans="1:29" s="22" customFormat="1" ht="78.75" customHeight="1" x14ac:dyDescent="0.25">
      <c r="A447" s="2" t="s">
        <v>1</v>
      </c>
      <c r="B447" s="4" t="s">
        <v>444</v>
      </c>
      <c r="C447" s="9" t="s">
        <v>15</v>
      </c>
      <c r="D447" s="9" t="s">
        <v>15</v>
      </c>
      <c r="E447" s="9" t="s">
        <v>15</v>
      </c>
      <c r="F447" s="8">
        <f>F448</f>
        <v>640861.19999999995</v>
      </c>
      <c r="G447" s="8">
        <f t="shared" ref="G447:Q447" si="158">G448</f>
        <v>66302.61</v>
      </c>
      <c r="H447" s="8">
        <f t="shared" si="158"/>
        <v>145.19</v>
      </c>
      <c r="I447" s="8">
        <f t="shared" si="158"/>
        <v>0</v>
      </c>
      <c r="J447" s="8">
        <f t="shared" si="158"/>
        <v>0</v>
      </c>
      <c r="K447" s="8">
        <f t="shared" si="158"/>
        <v>0</v>
      </c>
      <c r="L447" s="8">
        <f t="shared" si="158"/>
        <v>0</v>
      </c>
      <c r="M447" s="8">
        <f t="shared" si="158"/>
        <v>0</v>
      </c>
      <c r="N447" s="8">
        <f t="shared" si="158"/>
        <v>0</v>
      </c>
      <c r="O447" s="8">
        <f t="shared" si="158"/>
        <v>0</v>
      </c>
      <c r="P447" s="8">
        <f t="shared" si="158"/>
        <v>0</v>
      </c>
      <c r="Q447" s="8">
        <f t="shared" si="158"/>
        <v>0</v>
      </c>
      <c r="R447" s="9" t="s">
        <v>15</v>
      </c>
      <c r="S447" s="9" t="s">
        <v>15</v>
      </c>
      <c r="T447" s="9" t="s">
        <v>15</v>
      </c>
      <c r="U447" s="9" t="s">
        <v>15</v>
      </c>
      <c r="V447" s="9" t="s">
        <v>15</v>
      </c>
      <c r="W447" s="9" t="s">
        <v>15</v>
      </c>
      <c r="X447" s="9" t="s">
        <v>15</v>
      </c>
      <c r="Y447" s="9" t="s">
        <v>15</v>
      </c>
      <c r="Z447" s="9" t="s">
        <v>15</v>
      </c>
      <c r="AA447" s="9" t="s">
        <v>15</v>
      </c>
      <c r="AB447" s="9" t="s">
        <v>15</v>
      </c>
      <c r="AC447" s="9" t="s">
        <v>15</v>
      </c>
    </row>
    <row r="448" spans="1:29" s="95" customFormat="1" ht="234.75" customHeight="1" x14ac:dyDescent="0.25">
      <c r="A448" s="158" t="s">
        <v>25</v>
      </c>
      <c r="B448" s="87" t="s">
        <v>243</v>
      </c>
      <c r="C448" s="203" t="s">
        <v>4</v>
      </c>
      <c r="D448" s="82" t="s">
        <v>443</v>
      </c>
      <c r="E448" s="82" t="s">
        <v>443</v>
      </c>
      <c r="F448" s="83">
        <v>640861.19999999995</v>
      </c>
      <c r="G448" s="83">
        <v>66302.61</v>
      </c>
      <c r="H448" s="83">
        <v>145.19</v>
      </c>
      <c r="I448" s="83">
        <v>0</v>
      </c>
      <c r="J448" s="83">
        <v>0</v>
      </c>
      <c r="K448" s="83">
        <v>0</v>
      </c>
      <c r="L448" s="83">
        <v>0</v>
      </c>
      <c r="M448" s="83">
        <v>0</v>
      </c>
      <c r="N448" s="83">
        <v>0</v>
      </c>
      <c r="O448" s="83">
        <v>0</v>
      </c>
      <c r="P448" s="83">
        <v>0</v>
      </c>
      <c r="Q448" s="83">
        <v>0</v>
      </c>
      <c r="R448" s="82">
        <v>2022</v>
      </c>
      <c r="S448" s="82">
        <v>2024</v>
      </c>
      <c r="T448" s="82" t="s">
        <v>15</v>
      </c>
      <c r="U448" s="82" t="s">
        <v>598</v>
      </c>
      <c r="V448" s="82" t="s">
        <v>598</v>
      </c>
      <c r="W448" s="82" t="s">
        <v>598</v>
      </c>
      <c r="X448" s="82" t="s">
        <v>598</v>
      </c>
      <c r="Y448" s="82">
        <v>2024</v>
      </c>
      <c r="Z448" s="203" t="s">
        <v>77</v>
      </c>
      <c r="AA448" s="82" t="s">
        <v>204</v>
      </c>
      <c r="AB448" s="82" t="s">
        <v>15</v>
      </c>
      <c r="AC448" s="82" t="s">
        <v>15</v>
      </c>
    </row>
    <row r="449" spans="1:29" s="22" customFormat="1" ht="111" customHeight="1" x14ac:dyDescent="0.25">
      <c r="A449" s="2" t="s">
        <v>8</v>
      </c>
      <c r="B449" s="4" t="s">
        <v>241</v>
      </c>
      <c r="C449" s="9" t="s">
        <v>77</v>
      </c>
      <c r="D449" s="9" t="s">
        <v>77</v>
      </c>
      <c r="E449" s="9" t="s">
        <v>77</v>
      </c>
      <c r="F449" s="8">
        <f>F450</f>
        <v>6377430.21</v>
      </c>
      <c r="G449" s="8">
        <f t="shared" ref="G449:Q449" si="159">G450</f>
        <v>269165.96029000002</v>
      </c>
      <c r="H449" s="8">
        <f t="shared" si="159"/>
        <v>51911.01917</v>
      </c>
      <c r="I449" s="8">
        <f t="shared" si="159"/>
        <v>381814.96710000001</v>
      </c>
      <c r="J449" s="8">
        <f t="shared" si="159"/>
        <v>5174848.5</v>
      </c>
      <c r="K449" s="8">
        <f t="shared" si="159"/>
        <v>209214.53</v>
      </c>
      <c r="L449" s="8">
        <f t="shared" si="159"/>
        <v>41906.17</v>
      </c>
      <c r="M449" s="8">
        <f t="shared" si="159"/>
        <v>302162.32</v>
      </c>
      <c r="N449" s="8">
        <f t="shared" si="159"/>
        <v>2150145.92</v>
      </c>
      <c r="O449" s="8">
        <f t="shared" si="159"/>
        <v>88396.01</v>
      </c>
      <c r="P449" s="8">
        <f t="shared" si="159"/>
        <v>23596.34</v>
      </c>
      <c r="Q449" s="8">
        <f t="shared" si="159"/>
        <v>113817.37</v>
      </c>
      <c r="R449" s="9" t="s">
        <v>77</v>
      </c>
      <c r="S449" s="9" t="s">
        <v>77</v>
      </c>
      <c r="T449" s="9" t="s">
        <v>77</v>
      </c>
      <c r="U449" s="9" t="s">
        <v>77</v>
      </c>
      <c r="V449" s="9" t="s">
        <v>77</v>
      </c>
      <c r="W449" s="9" t="s">
        <v>77</v>
      </c>
      <c r="X449" s="9" t="s">
        <v>77</v>
      </c>
      <c r="Y449" s="9" t="s">
        <v>77</v>
      </c>
      <c r="Z449" s="9" t="s">
        <v>77</v>
      </c>
      <c r="AA449" s="9" t="s">
        <v>77</v>
      </c>
      <c r="AB449" s="9" t="s">
        <v>77</v>
      </c>
      <c r="AC449" s="9" t="s">
        <v>77</v>
      </c>
    </row>
    <row r="450" spans="1:29" s="145" customFormat="1" ht="156" customHeight="1" x14ac:dyDescent="0.25">
      <c r="A450" s="141" t="s">
        <v>48</v>
      </c>
      <c r="B450" s="142" t="s">
        <v>240</v>
      </c>
      <c r="C450" s="143" t="s">
        <v>4</v>
      </c>
      <c r="D450" s="205" t="s">
        <v>353</v>
      </c>
      <c r="E450" s="205" t="s">
        <v>531</v>
      </c>
      <c r="F450" s="144">
        <f>F451+F452+F453+F454+F455+F456</f>
        <v>6377430.21</v>
      </c>
      <c r="G450" s="144">
        <f t="shared" ref="G450:Q450" si="160">G451+G452+G453+G454+G455+G456</f>
        <v>269165.96029000002</v>
      </c>
      <c r="H450" s="144">
        <f t="shared" si="160"/>
        <v>51911.01917</v>
      </c>
      <c r="I450" s="144">
        <f t="shared" si="160"/>
        <v>381814.96710000001</v>
      </c>
      <c r="J450" s="144">
        <f t="shared" si="160"/>
        <v>5174848.5</v>
      </c>
      <c r="K450" s="144">
        <f t="shared" si="160"/>
        <v>209214.53</v>
      </c>
      <c r="L450" s="144">
        <f t="shared" si="160"/>
        <v>41906.17</v>
      </c>
      <c r="M450" s="144">
        <f t="shared" si="160"/>
        <v>302162.32</v>
      </c>
      <c r="N450" s="144">
        <f t="shared" si="160"/>
        <v>2150145.92</v>
      </c>
      <c r="O450" s="144">
        <f t="shared" si="160"/>
        <v>88396.01</v>
      </c>
      <c r="P450" s="144">
        <f t="shared" si="160"/>
        <v>23596.34</v>
      </c>
      <c r="Q450" s="144">
        <f t="shared" si="160"/>
        <v>113817.37</v>
      </c>
      <c r="R450" s="208" t="s">
        <v>77</v>
      </c>
      <c r="S450" s="208" t="s">
        <v>77</v>
      </c>
      <c r="T450" s="82" t="s">
        <v>15</v>
      </c>
      <c r="U450" s="208" t="s">
        <v>77</v>
      </c>
      <c r="V450" s="208" t="s">
        <v>77</v>
      </c>
      <c r="W450" s="208" t="s">
        <v>77</v>
      </c>
      <c r="X450" s="208" t="s">
        <v>77</v>
      </c>
      <c r="Y450" s="208" t="s">
        <v>77</v>
      </c>
      <c r="Z450" s="208" t="s">
        <v>77</v>
      </c>
      <c r="AA450" s="208" t="s">
        <v>550</v>
      </c>
      <c r="AB450" s="143" t="s">
        <v>532</v>
      </c>
      <c r="AC450" s="143" t="s">
        <v>533</v>
      </c>
    </row>
    <row r="451" spans="1:29" s="149" customFormat="1" ht="83.25" customHeight="1" x14ac:dyDescent="0.25">
      <c r="A451" s="147" t="s">
        <v>289</v>
      </c>
      <c r="B451" s="148" t="s">
        <v>519</v>
      </c>
      <c r="C451" s="205" t="s">
        <v>4</v>
      </c>
      <c r="D451" s="205" t="s">
        <v>520</v>
      </c>
      <c r="E451" s="205" t="s">
        <v>520</v>
      </c>
      <c r="F451" s="144">
        <v>76427.8</v>
      </c>
      <c r="G451" s="144">
        <v>3184.56783</v>
      </c>
      <c r="H451" s="144">
        <v>167.97917000000001</v>
      </c>
      <c r="I451" s="144">
        <v>8864.4830000000002</v>
      </c>
      <c r="J451" s="144">
        <v>0</v>
      </c>
      <c r="K451" s="144">
        <v>0</v>
      </c>
      <c r="L451" s="144">
        <v>0</v>
      </c>
      <c r="M451" s="144">
        <v>0</v>
      </c>
      <c r="N451" s="144">
        <v>0</v>
      </c>
      <c r="O451" s="144">
        <v>0</v>
      </c>
      <c r="P451" s="144">
        <v>0</v>
      </c>
      <c r="Q451" s="144">
        <v>0</v>
      </c>
      <c r="R451" s="208">
        <v>2023</v>
      </c>
      <c r="S451" s="208">
        <v>2023</v>
      </c>
      <c r="T451" s="82" t="s">
        <v>15</v>
      </c>
      <c r="U451" s="82" t="s">
        <v>77</v>
      </c>
      <c r="V451" s="82" t="s">
        <v>77</v>
      </c>
      <c r="W451" s="82" t="s">
        <v>77</v>
      </c>
      <c r="X451" s="82" t="s">
        <v>77</v>
      </c>
      <c r="Y451" s="82" t="s">
        <v>77</v>
      </c>
      <c r="Z451" s="208">
        <v>88644.83</v>
      </c>
      <c r="AA451" s="208" t="s">
        <v>77</v>
      </c>
      <c r="AB451" s="208" t="s">
        <v>77</v>
      </c>
      <c r="AC451" s="208" t="s">
        <v>77</v>
      </c>
    </row>
    <row r="452" spans="1:29" s="78" customFormat="1" ht="68.25" customHeight="1" x14ac:dyDescent="0.25">
      <c r="A452" s="93" t="s">
        <v>294</v>
      </c>
      <c r="B452" s="159" t="s">
        <v>1177</v>
      </c>
      <c r="C452" s="203" t="s">
        <v>4</v>
      </c>
      <c r="D452" s="203" t="s">
        <v>377</v>
      </c>
      <c r="E452" s="203" t="s">
        <v>377</v>
      </c>
      <c r="F452" s="206">
        <v>387929.8</v>
      </c>
      <c r="G452" s="206">
        <v>16163.84583</v>
      </c>
      <c r="H452" s="206">
        <v>1031.7</v>
      </c>
      <c r="I452" s="206">
        <v>44947.8</v>
      </c>
      <c r="J452" s="206">
        <v>423765.7</v>
      </c>
      <c r="K452" s="206">
        <v>17657.7</v>
      </c>
      <c r="L452" s="206">
        <v>1127</v>
      </c>
      <c r="M452" s="206">
        <v>49099.9</v>
      </c>
      <c r="N452" s="206">
        <v>0</v>
      </c>
      <c r="O452" s="206">
        <v>0</v>
      </c>
      <c r="P452" s="206">
        <v>0</v>
      </c>
      <c r="Q452" s="206">
        <v>0</v>
      </c>
      <c r="R452" s="82">
        <v>2022</v>
      </c>
      <c r="S452" s="82">
        <v>2024</v>
      </c>
      <c r="T452" s="82" t="s">
        <v>15</v>
      </c>
      <c r="U452" s="82" t="s">
        <v>105</v>
      </c>
      <c r="V452" s="82" t="s">
        <v>521</v>
      </c>
      <c r="W452" s="82" t="s">
        <v>522</v>
      </c>
      <c r="X452" s="82" t="s">
        <v>77</v>
      </c>
      <c r="Y452" s="82" t="s">
        <v>77</v>
      </c>
      <c r="Z452" s="82">
        <v>1189360.8600000001</v>
      </c>
      <c r="AA452" s="82" t="s">
        <v>77</v>
      </c>
      <c r="AB452" s="82" t="s">
        <v>77</v>
      </c>
      <c r="AC452" s="82" t="s">
        <v>77</v>
      </c>
    </row>
    <row r="453" spans="1:29" s="78" customFormat="1" ht="72" customHeight="1" x14ac:dyDescent="0.25">
      <c r="A453" s="93" t="s">
        <v>528</v>
      </c>
      <c r="B453" s="159" t="s">
        <v>523</v>
      </c>
      <c r="C453" s="203" t="s">
        <v>4</v>
      </c>
      <c r="D453" s="203" t="s">
        <v>377</v>
      </c>
      <c r="E453" s="203" t="s">
        <v>377</v>
      </c>
      <c r="F453" s="206">
        <v>245138.8</v>
      </c>
      <c r="G453" s="206">
        <v>10214.16</v>
      </c>
      <c r="H453" s="206">
        <v>315.89999999999998</v>
      </c>
      <c r="I453" s="206">
        <v>31820.799999999999</v>
      </c>
      <c r="J453" s="206">
        <v>0</v>
      </c>
      <c r="K453" s="206">
        <v>0</v>
      </c>
      <c r="L453" s="206">
        <v>0</v>
      </c>
      <c r="M453" s="206">
        <v>0</v>
      </c>
      <c r="N453" s="206">
        <v>0</v>
      </c>
      <c r="O453" s="206">
        <v>0</v>
      </c>
      <c r="P453" s="206">
        <v>0</v>
      </c>
      <c r="Q453" s="206">
        <v>0</v>
      </c>
      <c r="R453" s="82">
        <v>2022</v>
      </c>
      <c r="S453" s="82">
        <v>2023</v>
      </c>
      <c r="T453" s="82" t="s">
        <v>15</v>
      </c>
      <c r="U453" s="82" t="s">
        <v>105</v>
      </c>
      <c r="V453" s="82" t="s">
        <v>524</v>
      </c>
      <c r="W453" s="82" t="s">
        <v>524</v>
      </c>
      <c r="X453" s="82" t="s">
        <v>77</v>
      </c>
      <c r="Y453" s="82" t="s">
        <v>77</v>
      </c>
      <c r="Z453" s="82">
        <v>574979.38</v>
      </c>
      <c r="AA453" s="82" t="s">
        <v>77</v>
      </c>
      <c r="AB453" s="82" t="s">
        <v>77</v>
      </c>
      <c r="AC453" s="82" t="s">
        <v>77</v>
      </c>
    </row>
    <row r="454" spans="1:29" s="78" customFormat="1" ht="58.5" customHeight="1" x14ac:dyDescent="0.25">
      <c r="A454" s="93" t="s">
        <v>529</v>
      </c>
      <c r="B454" s="159" t="s">
        <v>551</v>
      </c>
      <c r="C454" s="203" t="s">
        <v>4</v>
      </c>
      <c r="D454" s="203" t="s">
        <v>377</v>
      </c>
      <c r="E454" s="203" t="s">
        <v>377</v>
      </c>
      <c r="F454" s="206">
        <v>265409.90000000002</v>
      </c>
      <c r="G454" s="206">
        <v>11058.76246</v>
      </c>
      <c r="H454" s="206">
        <v>460.9</v>
      </c>
      <c r="I454" s="206">
        <v>13431.524100000001</v>
      </c>
      <c r="J454" s="206">
        <v>0</v>
      </c>
      <c r="K454" s="206">
        <v>0</v>
      </c>
      <c r="L454" s="206">
        <v>0</v>
      </c>
      <c r="M454" s="206">
        <v>0</v>
      </c>
      <c r="N454" s="206">
        <v>0</v>
      </c>
      <c r="O454" s="206">
        <v>0</v>
      </c>
      <c r="P454" s="206">
        <v>0</v>
      </c>
      <c r="Q454" s="206">
        <v>0</v>
      </c>
      <c r="R454" s="82">
        <v>2022</v>
      </c>
      <c r="S454" s="82">
        <v>2023</v>
      </c>
      <c r="T454" s="82" t="s">
        <v>15</v>
      </c>
      <c r="U454" s="82" t="s">
        <v>105</v>
      </c>
      <c r="V454" s="82" t="s">
        <v>525</v>
      </c>
      <c r="W454" s="82" t="s">
        <v>525</v>
      </c>
      <c r="X454" s="82" t="s">
        <v>77</v>
      </c>
      <c r="Y454" s="82" t="s">
        <v>77</v>
      </c>
      <c r="Z454" s="82">
        <v>413075.36</v>
      </c>
      <c r="AA454" s="82" t="s">
        <v>77</v>
      </c>
      <c r="AB454" s="82" t="s">
        <v>77</v>
      </c>
      <c r="AC454" s="82" t="s">
        <v>77</v>
      </c>
    </row>
    <row r="455" spans="1:29" s="78" customFormat="1" ht="92.25" customHeight="1" x14ac:dyDescent="0.25">
      <c r="A455" s="93" t="s">
        <v>530</v>
      </c>
      <c r="B455" s="159" t="s">
        <v>1178</v>
      </c>
      <c r="C455" s="203" t="s">
        <v>4</v>
      </c>
      <c r="D455" s="203" t="s">
        <v>377</v>
      </c>
      <c r="E455" s="203" t="s">
        <v>377</v>
      </c>
      <c r="F455" s="206">
        <v>71823.7</v>
      </c>
      <c r="G455" s="206">
        <v>2992.6541699999998</v>
      </c>
      <c r="H455" s="206">
        <v>191</v>
      </c>
      <c r="I455" s="206">
        <v>8288.5</v>
      </c>
      <c r="J455" s="206">
        <v>0</v>
      </c>
      <c r="K455" s="206">
        <v>0</v>
      </c>
      <c r="L455" s="206">
        <v>0</v>
      </c>
      <c r="M455" s="206">
        <v>0</v>
      </c>
      <c r="N455" s="206">
        <v>0</v>
      </c>
      <c r="O455" s="206">
        <v>0</v>
      </c>
      <c r="P455" s="206">
        <v>0</v>
      </c>
      <c r="Q455" s="206">
        <v>0</v>
      </c>
      <c r="R455" s="82">
        <v>2022</v>
      </c>
      <c r="S455" s="82">
        <v>2023</v>
      </c>
      <c r="T455" s="82" t="s">
        <v>15</v>
      </c>
      <c r="U455" s="82" t="s">
        <v>105</v>
      </c>
      <c r="V455" s="82" t="s">
        <v>526</v>
      </c>
      <c r="W455" s="82" t="s">
        <v>527</v>
      </c>
      <c r="X455" s="82" t="s">
        <v>77</v>
      </c>
      <c r="Y455" s="82" t="s">
        <v>77</v>
      </c>
      <c r="Z455" s="82">
        <v>166591.73000000001</v>
      </c>
      <c r="AA455" s="82" t="s">
        <v>77</v>
      </c>
      <c r="AB455" s="82" t="s">
        <v>77</v>
      </c>
      <c r="AC455" s="82" t="s">
        <v>77</v>
      </c>
    </row>
    <row r="456" spans="1:29" s="149" customFormat="1" ht="258.75" customHeight="1" x14ac:dyDescent="0.25">
      <c r="A456" s="147" t="s">
        <v>812</v>
      </c>
      <c r="B456" s="148" t="s">
        <v>813</v>
      </c>
      <c r="C456" s="205" t="s">
        <v>4</v>
      </c>
      <c r="D456" s="205" t="s">
        <v>353</v>
      </c>
      <c r="E456" s="205" t="s">
        <v>814</v>
      </c>
      <c r="F456" s="144">
        <v>5330700.21</v>
      </c>
      <c r="G456" s="144">
        <v>225551.97</v>
      </c>
      <c r="H456" s="144">
        <v>49743.54</v>
      </c>
      <c r="I456" s="144">
        <v>274461.86</v>
      </c>
      <c r="J456" s="144">
        <v>4751082.8</v>
      </c>
      <c r="K456" s="144">
        <v>191556.83</v>
      </c>
      <c r="L456" s="144">
        <v>40779.17</v>
      </c>
      <c r="M456" s="144">
        <v>253062.42</v>
      </c>
      <c r="N456" s="144">
        <v>2150145.92</v>
      </c>
      <c r="O456" s="144">
        <v>88396.01</v>
      </c>
      <c r="P456" s="144">
        <v>23596.34</v>
      </c>
      <c r="Q456" s="144">
        <v>113817.37</v>
      </c>
      <c r="R456" s="208">
        <v>2023</v>
      </c>
      <c r="S456" s="208">
        <v>2025</v>
      </c>
      <c r="T456" s="208" t="s">
        <v>15</v>
      </c>
      <c r="U456" s="208" t="s">
        <v>77</v>
      </c>
      <c r="V456" s="208" t="s">
        <v>77</v>
      </c>
      <c r="W456" s="208" t="s">
        <v>77</v>
      </c>
      <c r="X456" s="208" t="s">
        <v>77</v>
      </c>
      <c r="Y456" s="208" t="s">
        <v>77</v>
      </c>
      <c r="Z456" s="208">
        <v>13492894.439999999</v>
      </c>
      <c r="AA456" s="208" t="s">
        <v>1122</v>
      </c>
      <c r="AB456" s="208" t="s">
        <v>532</v>
      </c>
      <c r="AC456" s="208" t="s">
        <v>815</v>
      </c>
    </row>
    <row r="457" spans="1:29" s="22" customFormat="1" ht="111" customHeight="1" x14ac:dyDescent="0.25">
      <c r="A457" s="2" t="s">
        <v>42</v>
      </c>
      <c r="B457" s="4" t="s">
        <v>309</v>
      </c>
      <c r="C457" s="9" t="s">
        <v>77</v>
      </c>
      <c r="D457" s="9" t="s">
        <v>77</v>
      </c>
      <c r="E457" s="9" t="s">
        <v>77</v>
      </c>
      <c r="F457" s="8">
        <f>F458</f>
        <v>458997.69</v>
      </c>
      <c r="G457" s="8">
        <f t="shared" ref="G457:Q457" si="161">G458</f>
        <v>19124.900000000001</v>
      </c>
      <c r="H457" s="8">
        <f t="shared" si="161"/>
        <v>53593.3</v>
      </c>
      <c r="I457" s="8">
        <f t="shared" si="161"/>
        <v>178672.92</v>
      </c>
      <c r="J457" s="8">
        <f t="shared" si="161"/>
        <v>22055.37</v>
      </c>
      <c r="K457" s="8">
        <f t="shared" si="161"/>
        <v>918.97</v>
      </c>
      <c r="L457" s="8">
        <f t="shared" si="161"/>
        <v>3806.17</v>
      </c>
      <c r="M457" s="8">
        <f t="shared" si="161"/>
        <v>9882.9699999999993</v>
      </c>
      <c r="N457" s="8">
        <f t="shared" si="161"/>
        <v>14533.59</v>
      </c>
      <c r="O457" s="8">
        <f t="shared" si="161"/>
        <v>605.55999999999995</v>
      </c>
      <c r="P457" s="8">
        <f t="shared" si="161"/>
        <v>982.56</v>
      </c>
      <c r="Q457" s="8">
        <f t="shared" si="161"/>
        <v>6321.91</v>
      </c>
      <c r="R457" s="9" t="s">
        <v>77</v>
      </c>
      <c r="S457" s="9" t="s">
        <v>77</v>
      </c>
      <c r="T457" s="9" t="s">
        <v>77</v>
      </c>
      <c r="U457" s="9" t="s">
        <v>77</v>
      </c>
      <c r="V457" s="9" t="s">
        <v>77</v>
      </c>
      <c r="W457" s="9" t="s">
        <v>77</v>
      </c>
      <c r="X457" s="9" t="s">
        <v>77</v>
      </c>
      <c r="Y457" s="9" t="s">
        <v>77</v>
      </c>
      <c r="Z457" s="9" t="s">
        <v>77</v>
      </c>
      <c r="AA457" s="9" t="s">
        <v>77</v>
      </c>
      <c r="AB457" s="9" t="s">
        <v>77</v>
      </c>
      <c r="AC457" s="9" t="s">
        <v>77</v>
      </c>
    </row>
    <row r="458" spans="1:29" s="47" customFormat="1" ht="136.5" customHeight="1" x14ac:dyDescent="0.25">
      <c r="A458" s="158" t="s">
        <v>50</v>
      </c>
      <c r="B458" s="91" t="s">
        <v>242</v>
      </c>
      <c r="C458" s="204" t="s">
        <v>4</v>
      </c>
      <c r="D458" s="203" t="s">
        <v>353</v>
      </c>
      <c r="E458" s="203" t="s">
        <v>353</v>
      </c>
      <c r="F458" s="206">
        <v>458997.69</v>
      </c>
      <c r="G458" s="206">
        <v>19124.900000000001</v>
      </c>
      <c r="H458" s="206">
        <v>53593.3</v>
      </c>
      <c r="I458" s="206">
        <v>178672.92</v>
      </c>
      <c r="J458" s="206">
        <v>22055.37</v>
      </c>
      <c r="K458" s="206">
        <v>918.97</v>
      </c>
      <c r="L458" s="206">
        <v>3806.17</v>
      </c>
      <c r="M458" s="206">
        <v>9882.9699999999993</v>
      </c>
      <c r="N458" s="206">
        <v>14533.59</v>
      </c>
      <c r="O458" s="206">
        <v>605.55999999999995</v>
      </c>
      <c r="P458" s="206">
        <v>982.56</v>
      </c>
      <c r="Q458" s="206">
        <v>6321.91</v>
      </c>
      <c r="R458" s="82" t="s">
        <v>77</v>
      </c>
      <c r="S458" s="82" t="s">
        <v>77</v>
      </c>
      <c r="T458" s="82" t="s">
        <v>77</v>
      </c>
      <c r="U458" s="82" t="s">
        <v>77</v>
      </c>
      <c r="V458" s="82" t="s">
        <v>77</v>
      </c>
      <c r="W458" s="82" t="s">
        <v>77</v>
      </c>
      <c r="X458" s="82" t="s">
        <v>77</v>
      </c>
      <c r="Y458" s="82" t="s">
        <v>77</v>
      </c>
      <c r="Z458" s="82" t="s">
        <v>77</v>
      </c>
      <c r="AA458" s="75" t="s">
        <v>1049</v>
      </c>
      <c r="AB458" s="82" t="s">
        <v>1050</v>
      </c>
      <c r="AC458" s="82" t="s">
        <v>817</v>
      </c>
    </row>
    <row r="459" spans="1:29" s="22" customFormat="1" ht="111" customHeight="1" x14ac:dyDescent="0.25">
      <c r="A459" s="2" t="s">
        <v>60</v>
      </c>
      <c r="B459" s="4" t="s">
        <v>310</v>
      </c>
      <c r="C459" s="9" t="s">
        <v>77</v>
      </c>
      <c r="D459" s="9" t="s">
        <v>77</v>
      </c>
      <c r="E459" s="9" t="s">
        <v>77</v>
      </c>
      <c r="F459" s="8">
        <f>F460+F461+F462</f>
        <v>1527561.4000000001</v>
      </c>
      <c r="G459" s="8">
        <f t="shared" ref="G459:Q459" si="162">G460+G461+G462</f>
        <v>63648.4</v>
      </c>
      <c r="H459" s="8">
        <f t="shared" si="162"/>
        <v>88644.4</v>
      </c>
      <c r="I459" s="8">
        <f t="shared" si="162"/>
        <v>386371.5</v>
      </c>
      <c r="J459" s="8">
        <f t="shared" si="162"/>
        <v>466188.19999999995</v>
      </c>
      <c r="K459" s="8">
        <f t="shared" si="162"/>
        <v>19424.5</v>
      </c>
      <c r="L459" s="8">
        <f t="shared" si="162"/>
        <v>5306.2</v>
      </c>
      <c r="M459" s="8">
        <f t="shared" si="162"/>
        <v>12361.2</v>
      </c>
      <c r="N459" s="8">
        <f t="shared" si="162"/>
        <v>150530.90000000002</v>
      </c>
      <c r="O459" s="8">
        <f t="shared" si="162"/>
        <v>6272.2000000000007</v>
      </c>
      <c r="P459" s="8">
        <f t="shared" si="162"/>
        <v>7738.8</v>
      </c>
      <c r="Q459" s="8">
        <f t="shared" si="162"/>
        <v>6140</v>
      </c>
      <c r="R459" s="9" t="s">
        <v>77</v>
      </c>
      <c r="S459" s="9" t="s">
        <v>77</v>
      </c>
      <c r="T459" s="9" t="s">
        <v>77</v>
      </c>
      <c r="U459" s="9" t="s">
        <v>77</v>
      </c>
      <c r="V459" s="9" t="s">
        <v>77</v>
      </c>
      <c r="W459" s="9" t="s">
        <v>77</v>
      </c>
      <c r="X459" s="9" t="s">
        <v>77</v>
      </c>
      <c r="Y459" s="9" t="s">
        <v>77</v>
      </c>
      <c r="Z459" s="9" t="s">
        <v>77</v>
      </c>
      <c r="AA459" s="9" t="s">
        <v>77</v>
      </c>
      <c r="AB459" s="9" t="s">
        <v>77</v>
      </c>
      <c r="AC459" s="9" t="s">
        <v>77</v>
      </c>
    </row>
    <row r="460" spans="1:29" s="145" customFormat="1" ht="72.75" customHeight="1" x14ac:dyDescent="0.25">
      <c r="A460" s="141" t="s">
        <v>51</v>
      </c>
      <c r="B460" s="142" t="s">
        <v>237</v>
      </c>
      <c r="C460" s="143" t="s">
        <v>4</v>
      </c>
      <c r="D460" s="205" t="s">
        <v>353</v>
      </c>
      <c r="E460" s="205" t="s">
        <v>353</v>
      </c>
      <c r="F460" s="144">
        <v>817942</v>
      </c>
      <c r="G460" s="144">
        <v>34080.9</v>
      </c>
      <c r="H460" s="144">
        <v>0</v>
      </c>
      <c r="I460" s="144">
        <v>365152.7</v>
      </c>
      <c r="J460" s="144">
        <v>15530.8</v>
      </c>
      <c r="K460" s="144">
        <v>647.1</v>
      </c>
      <c r="L460" s="144">
        <v>0</v>
      </c>
      <c r="M460" s="144">
        <v>6933.4</v>
      </c>
      <c r="N460" s="140">
        <v>9827</v>
      </c>
      <c r="O460" s="140">
        <v>409.5</v>
      </c>
      <c r="P460" s="140">
        <v>0</v>
      </c>
      <c r="Q460" s="140">
        <v>4387</v>
      </c>
      <c r="R460" s="208" t="s">
        <v>77</v>
      </c>
      <c r="S460" s="208" t="s">
        <v>77</v>
      </c>
      <c r="T460" s="82" t="s">
        <v>15</v>
      </c>
      <c r="U460" s="208" t="s">
        <v>77</v>
      </c>
      <c r="V460" s="208" t="s">
        <v>77</v>
      </c>
      <c r="W460" s="208" t="s">
        <v>77</v>
      </c>
      <c r="X460" s="208" t="s">
        <v>77</v>
      </c>
      <c r="Y460" s="208" t="s">
        <v>77</v>
      </c>
      <c r="Z460" s="208" t="s">
        <v>77</v>
      </c>
      <c r="AA460" s="75" t="s">
        <v>1049</v>
      </c>
      <c r="AB460" s="143" t="s">
        <v>816</v>
      </c>
      <c r="AC460" s="208" t="s">
        <v>817</v>
      </c>
    </row>
    <row r="461" spans="1:29" s="145" customFormat="1" ht="72" customHeight="1" x14ac:dyDescent="0.25">
      <c r="A461" s="141" t="s">
        <v>61</v>
      </c>
      <c r="B461" s="142" t="s">
        <v>1179</v>
      </c>
      <c r="C461" s="143" t="s">
        <v>4</v>
      </c>
      <c r="D461" s="205" t="s">
        <v>353</v>
      </c>
      <c r="E461" s="205" t="s">
        <v>353</v>
      </c>
      <c r="F461" s="146">
        <v>418905.59999999998</v>
      </c>
      <c r="G461" s="146">
        <v>17454.400000000001</v>
      </c>
      <c r="H461" s="146">
        <v>87871.2</v>
      </c>
      <c r="I461" s="146">
        <v>21218.799999999999</v>
      </c>
      <c r="J461" s="146">
        <v>36993.599999999999</v>
      </c>
      <c r="K461" s="146">
        <v>1541.4</v>
      </c>
      <c r="L461" s="146">
        <v>4206</v>
      </c>
      <c r="M461" s="146">
        <v>5427.8</v>
      </c>
      <c r="N461" s="146">
        <v>35372.800000000003</v>
      </c>
      <c r="O461" s="146">
        <v>1473.9</v>
      </c>
      <c r="P461" s="146">
        <v>7458.7</v>
      </c>
      <c r="Q461" s="146">
        <v>1753</v>
      </c>
      <c r="R461" s="208" t="s">
        <v>77</v>
      </c>
      <c r="S461" s="208" t="s">
        <v>77</v>
      </c>
      <c r="T461" s="82" t="s">
        <v>15</v>
      </c>
      <c r="U461" s="208" t="s">
        <v>77</v>
      </c>
      <c r="V461" s="208" t="s">
        <v>77</v>
      </c>
      <c r="W461" s="208" t="s">
        <v>77</v>
      </c>
      <c r="X461" s="208" t="s">
        <v>77</v>
      </c>
      <c r="Y461" s="208" t="s">
        <v>77</v>
      </c>
      <c r="Z461" s="208" t="s">
        <v>77</v>
      </c>
      <c r="AA461" s="75" t="s">
        <v>1049</v>
      </c>
      <c r="AB461" s="143" t="s">
        <v>816</v>
      </c>
      <c r="AC461" s="208" t="s">
        <v>817</v>
      </c>
    </row>
    <row r="462" spans="1:29" s="145" customFormat="1" ht="89.25" customHeight="1" x14ac:dyDescent="0.25">
      <c r="A462" s="141" t="s">
        <v>62</v>
      </c>
      <c r="B462" s="142" t="s">
        <v>818</v>
      </c>
      <c r="C462" s="143" t="s">
        <v>4</v>
      </c>
      <c r="D462" s="205" t="s">
        <v>377</v>
      </c>
      <c r="E462" s="205" t="s">
        <v>377</v>
      </c>
      <c r="F462" s="146">
        <v>290713.8</v>
      </c>
      <c r="G462" s="146">
        <v>12113.1</v>
      </c>
      <c r="H462" s="146">
        <v>773.2</v>
      </c>
      <c r="I462" s="146">
        <v>0</v>
      </c>
      <c r="J462" s="146">
        <v>413663.8</v>
      </c>
      <c r="K462" s="146">
        <v>17236</v>
      </c>
      <c r="L462" s="146">
        <v>1100.2</v>
      </c>
      <c r="M462" s="146">
        <v>0</v>
      </c>
      <c r="N462" s="146">
        <v>105331.1</v>
      </c>
      <c r="O462" s="146">
        <v>4388.8</v>
      </c>
      <c r="P462" s="146">
        <v>280.10000000000002</v>
      </c>
      <c r="Q462" s="146">
        <v>0</v>
      </c>
      <c r="R462" s="208" t="s">
        <v>77</v>
      </c>
      <c r="S462" s="208" t="s">
        <v>77</v>
      </c>
      <c r="T462" s="82" t="s">
        <v>15</v>
      </c>
      <c r="U462" s="208" t="s">
        <v>77</v>
      </c>
      <c r="V462" s="208" t="s">
        <v>77</v>
      </c>
      <c r="W462" s="208" t="s">
        <v>77</v>
      </c>
      <c r="X462" s="208" t="s">
        <v>77</v>
      </c>
      <c r="Y462" s="208" t="s">
        <v>77</v>
      </c>
      <c r="Z462" s="208" t="s">
        <v>77</v>
      </c>
      <c r="AA462" s="75" t="s">
        <v>1049</v>
      </c>
      <c r="AB462" s="143" t="s">
        <v>816</v>
      </c>
      <c r="AC462" s="208" t="s">
        <v>817</v>
      </c>
    </row>
    <row r="463" spans="1:29" s="22" customFormat="1" ht="84.75" customHeight="1" x14ac:dyDescent="0.25">
      <c r="A463" s="2" t="s">
        <v>63</v>
      </c>
      <c r="B463" s="4" t="s">
        <v>311</v>
      </c>
      <c r="C463" s="9" t="s">
        <v>77</v>
      </c>
      <c r="D463" s="9" t="s">
        <v>77</v>
      </c>
      <c r="E463" s="9" t="s">
        <v>77</v>
      </c>
      <c r="F463" s="8">
        <f>F464+F465</f>
        <v>22813.5</v>
      </c>
      <c r="G463" s="8">
        <f t="shared" ref="G463:Q463" si="163">G464+G465</f>
        <v>950.5</v>
      </c>
      <c r="H463" s="8">
        <f t="shared" si="163"/>
        <v>0</v>
      </c>
      <c r="I463" s="8">
        <f t="shared" si="163"/>
        <v>4196</v>
      </c>
      <c r="J463" s="8">
        <f t="shared" si="163"/>
        <v>22813.5</v>
      </c>
      <c r="K463" s="8">
        <f t="shared" si="163"/>
        <v>950.5</v>
      </c>
      <c r="L463" s="8">
        <f t="shared" si="163"/>
        <v>0</v>
      </c>
      <c r="M463" s="8">
        <f t="shared" si="163"/>
        <v>4196</v>
      </c>
      <c r="N463" s="8">
        <f t="shared" si="163"/>
        <v>22813.5</v>
      </c>
      <c r="O463" s="8">
        <f t="shared" si="163"/>
        <v>950.5</v>
      </c>
      <c r="P463" s="8">
        <f t="shared" si="163"/>
        <v>0</v>
      </c>
      <c r="Q463" s="8">
        <f t="shared" si="163"/>
        <v>4196</v>
      </c>
      <c r="R463" s="9" t="s">
        <v>77</v>
      </c>
      <c r="S463" s="9" t="s">
        <v>77</v>
      </c>
      <c r="T463" s="9" t="s">
        <v>77</v>
      </c>
      <c r="U463" s="9" t="s">
        <v>77</v>
      </c>
      <c r="V463" s="9" t="s">
        <v>77</v>
      </c>
      <c r="W463" s="9" t="s">
        <v>77</v>
      </c>
      <c r="X463" s="9" t="s">
        <v>77</v>
      </c>
      <c r="Y463" s="9" t="s">
        <v>77</v>
      </c>
      <c r="Z463" s="9" t="s">
        <v>77</v>
      </c>
      <c r="AA463" s="9" t="s">
        <v>77</v>
      </c>
      <c r="AB463" s="9" t="s">
        <v>77</v>
      </c>
      <c r="AC463" s="9" t="s">
        <v>77</v>
      </c>
    </row>
    <row r="464" spans="1:29" s="145" customFormat="1" ht="70.5" customHeight="1" x14ac:dyDescent="0.25">
      <c r="A464" s="141" t="s">
        <v>52</v>
      </c>
      <c r="B464" s="142" t="s">
        <v>238</v>
      </c>
      <c r="C464" s="143" t="s">
        <v>4</v>
      </c>
      <c r="D464" s="205" t="s">
        <v>353</v>
      </c>
      <c r="E464" s="205" t="s">
        <v>353</v>
      </c>
      <c r="F464" s="144">
        <v>3607.8</v>
      </c>
      <c r="G464" s="144">
        <v>150.30000000000001</v>
      </c>
      <c r="H464" s="144">
        <v>0</v>
      </c>
      <c r="I464" s="144">
        <v>417.6</v>
      </c>
      <c r="J464" s="144">
        <v>3607.8</v>
      </c>
      <c r="K464" s="144">
        <v>150.30000000000001</v>
      </c>
      <c r="L464" s="144">
        <v>0</v>
      </c>
      <c r="M464" s="144">
        <v>417.6</v>
      </c>
      <c r="N464" s="144">
        <v>3607.8</v>
      </c>
      <c r="O464" s="144">
        <v>150.30000000000001</v>
      </c>
      <c r="P464" s="144">
        <v>0</v>
      </c>
      <c r="Q464" s="144">
        <v>417.6</v>
      </c>
      <c r="R464" s="208" t="s">
        <v>77</v>
      </c>
      <c r="S464" s="208" t="s">
        <v>77</v>
      </c>
      <c r="T464" s="208" t="s">
        <v>77</v>
      </c>
      <c r="U464" s="208" t="s">
        <v>77</v>
      </c>
      <c r="V464" s="208" t="s">
        <v>77</v>
      </c>
      <c r="W464" s="208" t="s">
        <v>77</v>
      </c>
      <c r="X464" s="208" t="s">
        <v>77</v>
      </c>
      <c r="Y464" s="208" t="s">
        <v>77</v>
      </c>
      <c r="Z464" s="208" t="s">
        <v>77</v>
      </c>
      <c r="AA464" s="75" t="s">
        <v>1049</v>
      </c>
      <c r="AB464" s="143" t="s">
        <v>716</v>
      </c>
      <c r="AC464" s="208" t="s">
        <v>817</v>
      </c>
    </row>
    <row r="465" spans="1:29" s="145" customFormat="1" ht="111" customHeight="1" x14ac:dyDescent="0.25">
      <c r="A465" s="141" t="s">
        <v>291</v>
      </c>
      <c r="B465" s="142" t="s">
        <v>239</v>
      </c>
      <c r="C465" s="143" t="s">
        <v>4</v>
      </c>
      <c r="D465" s="205" t="s">
        <v>353</v>
      </c>
      <c r="E465" s="205" t="s">
        <v>353</v>
      </c>
      <c r="F465" s="144">
        <v>19205.7</v>
      </c>
      <c r="G465" s="144">
        <v>800.2</v>
      </c>
      <c r="H465" s="144">
        <v>0</v>
      </c>
      <c r="I465" s="144">
        <v>3778.4</v>
      </c>
      <c r="J465" s="144">
        <v>19205.7</v>
      </c>
      <c r="K465" s="144">
        <v>800.2</v>
      </c>
      <c r="L465" s="144">
        <v>0</v>
      </c>
      <c r="M465" s="144">
        <v>3778.4</v>
      </c>
      <c r="N465" s="144">
        <v>19205.7</v>
      </c>
      <c r="O465" s="144">
        <v>800.2</v>
      </c>
      <c r="P465" s="144">
        <v>0</v>
      </c>
      <c r="Q465" s="144">
        <v>3778.4</v>
      </c>
      <c r="R465" s="208" t="s">
        <v>77</v>
      </c>
      <c r="S465" s="208" t="s">
        <v>77</v>
      </c>
      <c r="T465" s="208" t="s">
        <v>77</v>
      </c>
      <c r="U465" s="208" t="s">
        <v>77</v>
      </c>
      <c r="V465" s="208" t="s">
        <v>77</v>
      </c>
      <c r="W465" s="208" t="s">
        <v>77</v>
      </c>
      <c r="X465" s="208" t="s">
        <v>77</v>
      </c>
      <c r="Y465" s="208" t="s">
        <v>77</v>
      </c>
      <c r="Z465" s="208" t="s">
        <v>77</v>
      </c>
      <c r="AA465" s="75" t="s">
        <v>1049</v>
      </c>
      <c r="AB465" s="143" t="s">
        <v>716</v>
      </c>
      <c r="AC465" s="208" t="s">
        <v>817</v>
      </c>
    </row>
    <row r="466" spans="1:29" s="48" customFormat="1" ht="60.75" customHeight="1" x14ac:dyDescent="0.3">
      <c r="A466" s="24" t="s">
        <v>96</v>
      </c>
      <c r="B466" s="33" t="s">
        <v>127</v>
      </c>
      <c r="C466" s="25" t="s">
        <v>15</v>
      </c>
      <c r="D466" s="25" t="s">
        <v>15</v>
      </c>
      <c r="E466" s="25" t="s">
        <v>15</v>
      </c>
      <c r="F466" s="26">
        <f>F467</f>
        <v>472063.8</v>
      </c>
      <c r="G466" s="26">
        <f t="shared" ref="G466:Q466" si="164">G467</f>
        <v>16169.369999999999</v>
      </c>
      <c r="H466" s="26">
        <f t="shared" si="164"/>
        <v>3500</v>
      </c>
      <c r="I466" s="26">
        <f t="shared" si="164"/>
        <v>65860</v>
      </c>
      <c r="J466" s="26">
        <f t="shared" si="164"/>
        <v>1149415.7</v>
      </c>
      <c r="K466" s="26">
        <f t="shared" si="164"/>
        <v>44392.65</v>
      </c>
      <c r="L466" s="26">
        <f t="shared" si="164"/>
        <v>3500</v>
      </c>
      <c r="M466" s="26">
        <f t="shared" si="164"/>
        <v>69390</v>
      </c>
      <c r="N466" s="26">
        <f t="shared" si="164"/>
        <v>0</v>
      </c>
      <c r="O466" s="26">
        <f t="shared" si="164"/>
        <v>0</v>
      </c>
      <c r="P466" s="26">
        <f t="shared" si="164"/>
        <v>0</v>
      </c>
      <c r="Q466" s="26">
        <f t="shared" si="164"/>
        <v>0</v>
      </c>
      <c r="R466" s="25" t="s">
        <v>15</v>
      </c>
      <c r="S466" s="25" t="s">
        <v>15</v>
      </c>
      <c r="T466" s="25" t="s">
        <v>15</v>
      </c>
      <c r="U466" s="25" t="s">
        <v>15</v>
      </c>
      <c r="V466" s="25" t="s">
        <v>15</v>
      </c>
      <c r="W466" s="25" t="s">
        <v>15</v>
      </c>
      <c r="X466" s="25" t="s">
        <v>15</v>
      </c>
      <c r="Y466" s="25" t="s">
        <v>15</v>
      </c>
      <c r="Z466" s="25" t="s">
        <v>15</v>
      </c>
      <c r="AA466" s="25" t="s">
        <v>15</v>
      </c>
      <c r="AB466" s="25" t="s">
        <v>15</v>
      </c>
      <c r="AC466" s="25" t="s">
        <v>15</v>
      </c>
    </row>
    <row r="467" spans="1:29" s="42" customFormat="1" ht="42" customHeight="1" x14ac:dyDescent="0.25">
      <c r="A467" s="39" t="s">
        <v>2</v>
      </c>
      <c r="B467" s="55" t="s">
        <v>128</v>
      </c>
      <c r="C467" s="15" t="s">
        <v>15</v>
      </c>
      <c r="D467" s="15" t="s">
        <v>15</v>
      </c>
      <c r="E467" s="15" t="s">
        <v>15</v>
      </c>
      <c r="F467" s="11">
        <f>F468</f>
        <v>472063.8</v>
      </c>
      <c r="G467" s="11">
        <f t="shared" ref="G467:Q467" si="165">G468</f>
        <v>16169.369999999999</v>
      </c>
      <c r="H467" s="11">
        <f t="shared" si="165"/>
        <v>3500</v>
      </c>
      <c r="I467" s="11">
        <f t="shared" si="165"/>
        <v>65860</v>
      </c>
      <c r="J467" s="11">
        <f t="shared" si="165"/>
        <v>1149415.7</v>
      </c>
      <c r="K467" s="11">
        <f t="shared" si="165"/>
        <v>44392.65</v>
      </c>
      <c r="L467" s="11">
        <f t="shared" si="165"/>
        <v>3500</v>
      </c>
      <c r="M467" s="11">
        <f t="shared" si="165"/>
        <v>69390</v>
      </c>
      <c r="N467" s="11">
        <f t="shared" si="165"/>
        <v>0</v>
      </c>
      <c r="O467" s="11">
        <f t="shared" si="165"/>
        <v>0</v>
      </c>
      <c r="P467" s="11">
        <f t="shared" si="165"/>
        <v>0</v>
      </c>
      <c r="Q467" s="11">
        <f t="shared" si="165"/>
        <v>0</v>
      </c>
      <c r="R467" s="15" t="s">
        <v>15</v>
      </c>
      <c r="S467" s="15" t="s">
        <v>15</v>
      </c>
      <c r="T467" s="15" t="s">
        <v>15</v>
      </c>
      <c r="U467" s="15" t="s">
        <v>15</v>
      </c>
      <c r="V467" s="15" t="s">
        <v>15</v>
      </c>
      <c r="W467" s="15" t="s">
        <v>15</v>
      </c>
      <c r="X467" s="15" t="s">
        <v>15</v>
      </c>
      <c r="Y467" s="15" t="s">
        <v>15</v>
      </c>
      <c r="Z467" s="15" t="s">
        <v>15</v>
      </c>
      <c r="AA467" s="15" t="s">
        <v>15</v>
      </c>
      <c r="AB467" s="15" t="s">
        <v>15</v>
      </c>
      <c r="AC467" s="15" t="s">
        <v>15</v>
      </c>
    </row>
    <row r="468" spans="1:29" s="43" customFormat="1" ht="59.25" customHeight="1" x14ac:dyDescent="0.25">
      <c r="A468" s="2" t="s">
        <v>1</v>
      </c>
      <c r="B468" s="4" t="s">
        <v>281</v>
      </c>
      <c r="C468" s="9" t="s">
        <v>15</v>
      </c>
      <c r="D468" s="9" t="s">
        <v>15</v>
      </c>
      <c r="E468" s="9" t="s">
        <v>15</v>
      </c>
      <c r="F468" s="8">
        <f>F469+F470+F471+F472+F473</f>
        <v>472063.8</v>
      </c>
      <c r="G468" s="8">
        <f t="shared" ref="G468:Q468" si="166">G469+G470+G471+G472+G473</f>
        <v>16169.369999999999</v>
      </c>
      <c r="H468" s="8">
        <f t="shared" si="166"/>
        <v>3500</v>
      </c>
      <c r="I468" s="8">
        <f t="shared" si="166"/>
        <v>65860</v>
      </c>
      <c r="J468" s="8">
        <f t="shared" si="166"/>
        <v>1149415.7</v>
      </c>
      <c r="K468" s="8">
        <f t="shared" si="166"/>
        <v>44392.65</v>
      </c>
      <c r="L468" s="8">
        <f t="shared" si="166"/>
        <v>3500</v>
      </c>
      <c r="M468" s="8">
        <f t="shared" si="166"/>
        <v>69390</v>
      </c>
      <c r="N468" s="8">
        <f t="shared" si="166"/>
        <v>0</v>
      </c>
      <c r="O468" s="8">
        <f t="shared" si="166"/>
        <v>0</v>
      </c>
      <c r="P468" s="8">
        <f t="shared" si="166"/>
        <v>0</v>
      </c>
      <c r="Q468" s="8">
        <f t="shared" si="166"/>
        <v>0</v>
      </c>
      <c r="R468" s="9" t="s">
        <v>15</v>
      </c>
      <c r="S468" s="9" t="s">
        <v>15</v>
      </c>
      <c r="T468" s="9" t="s">
        <v>15</v>
      </c>
      <c r="U468" s="9" t="s">
        <v>15</v>
      </c>
      <c r="V468" s="9" t="s">
        <v>15</v>
      </c>
      <c r="W468" s="9" t="s">
        <v>15</v>
      </c>
      <c r="X468" s="9" t="s">
        <v>15</v>
      </c>
      <c r="Y468" s="9" t="s">
        <v>15</v>
      </c>
      <c r="Z468" s="9" t="s">
        <v>15</v>
      </c>
      <c r="AA468" s="9" t="s">
        <v>15</v>
      </c>
      <c r="AB468" s="9" t="s">
        <v>15</v>
      </c>
      <c r="AC468" s="9" t="s">
        <v>15</v>
      </c>
    </row>
    <row r="469" spans="1:29" s="3" customFormat="1" ht="135" customHeight="1" x14ac:dyDescent="0.25">
      <c r="A469" s="167" t="s">
        <v>25</v>
      </c>
      <c r="B469" s="172" t="s">
        <v>124</v>
      </c>
      <c r="C469" s="205" t="s">
        <v>4</v>
      </c>
      <c r="D469" s="208" t="s">
        <v>534</v>
      </c>
      <c r="E469" s="208" t="s">
        <v>360</v>
      </c>
      <c r="F469" s="140">
        <v>40727</v>
      </c>
      <c r="G469" s="140">
        <v>1697</v>
      </c>
      <c r="H469" s="140">
        <v>0</v>
      </c>
      <c r="I469" s="140">
        <v>18180</v>
      </c>
      <c r="J469" s="140">
        <v>44800</v>
      </c>
      <c r="K469" s="140">
        <v>1867</v>
      </c>
      <c r="L469" s="140">
        <v>0</v>
      </c>
      <c r="M469" s="140">
        <v>20000</v>
      </c>
      <c r="N469" s="140">
        <v>0</v>
      </c>
      <c r="O469" s="144">
        <v>0</v>
      </c>
      <c r="P469" s="144">
        <v>0</v>
      </c>
      <c r="Q469" s="144">
        <v>0</v>
      </c>
      <c r="R469" s="208" t="s">
        <v>77</v>
      </c>
      <c r="S469" s="208" t="s">
        <v>77</v>
      </c>
      <c r="T469" s="208" t="s">
        <v>15</v>
      </c>
      <c r="U469" s="208" t="s">
        <v>77</v>
      </c>
      <c r="V469" s="208" t="s">
        <v>77</v>
      </c>
      <c r="W469" s="208" t="s">
        <v>77</v>
      </c>
      <c r="X469" s="208" t="s">
        <v>77</v>
      </c>
      <c r="Y469" s="208" t="s">
        <v>77</v>
      </c>
      <c r="Z469" s="208" t="s">
        <v>77</v>
      </c>
      <c r="AA469" s="205" t="s">
        <v>1068</v>
      </c>
      <c r="AB469" s="205" t="s">
        <v>923</v>
      </c>
      <c r="AC469" s="205" t="s">
        <v>1070</v>
      </c>
    </row>
    <row r="470" spans="1:29" s="3" customFormat="1" ht="127.5" customHeight="1" x14ac:dyDescent="0.25">
      <c r="A470" s="141" t="s">
        <v>78</v>
      </c>
      <c r="B470" s="172" t="s">
        <v>125</v>
      </c>
      <c r="C470" s="205" t="s">
        <v>4</v>
      </c>
      <c r="D470" s="208" t="s">
        <v>534</v>
      </c>
      <c r="E470" s="208" t="s">
        <v>360</v>
      </c>
      <c r="F470" s="140">
        <v>30000</v>
      </c>
      <c r="G470" s="140">
        <v>1250</v>
      </c>
      <c r="H470" s="140">
        <v>0</v>
      </c>
      <c r="I470" s="140">
        <v>13390</v>
      </c>
      <c r="J470" s="140">
        <v>30000</v>
      </c>
      <c r="K470" s="140">
        <v>1250</v>
      </c>
      <c r="L470" s="140">
        <v>0</v>
      </c>
      <c r="M470" s="140">
        <v>13390</v>
      </c>
      <c r="N470" s="144">
        <v>0</v>
      </c>
      <c r="O470" s="144">
        <v>0</v>
      </c>
      <c r="P470" s="144">
        <v>0</v>
      </c>
      <c r="Q470" s="144">
        <v>0</v>
      </c>
      <c r="R470" s="208" t="s">
        <v>77</v>
      </c>
      <c r="S470" s="208" t="s">
        <v>77</v>
      </c>
      <c r="T470" s="208" t="s">
        <v>15</v>
      </c>
      <c r="U470" s="208" t="s">
        <v>77</v>
      </c>
      <c r="V470" s="208" t="s">
        <v>77</v>
      </c>
      <c r="W470" s="208" t="s">
        <v>77</v>
      </c>
      <c r="X470" s="208" t="s">
        <v>77</v>
      </c>
      <c r="Y470" s="208" t="s">
        <v>77</v>
      </c>
      <c r="Z470" s="208" t="s">
        <v>77</v>
      </c>
      <c r="AA470" s="205" t="s">
        <v>1068</v>
      </c>
      <c r="AB470" s="205" t="s">
        <v>923</v>
      </c>
      <c r="AC470" s="205" t="s">
        <v>1070</v>
      </c>
    </row>
    <row r="471" spans="1:29" s="3" customFormat="1" ht="129.75" customHeight="1" x14ac:dyDescent="0.25">
      <c r="A471" s="141" t="s">
        <v>86</v>
      </c>
      <c r="B471" s="172" t="s">
        <v>126</v>
      </c>
      <c r="C471" s="205" t="s">
        <v>4</v>
      </c>
      <c r="D471" s="208" t="s">
        <v>534</v>
      </c>
      <c r="E471" s="208" t="s">
        <v>360</v>
      </c>
      <c r="F471" s="140">
        <v>240000</v>
      </c>
      <c r="G471" s="140">
        <v>6500</v>
      </c>
      <c r="H471" s="140">
        <v>3500</v>
      </c>
      <c r="I471" s="140">
        <v>0</v>
      </c>
      <c r="J471" s="140">
        <v>240000</v>
      </c>
      <c r="K471" s="140">
        <v>6500</v>
      </c>
      <c r="L471" s="140">
        <v>3500</v>
      </c>
      <c r="M471" s="140">
        <v>0</v>
      </c>
      <c r="N471" s="144">
        <v>0</v>
      </c>
      <c r="O471" s="144">
        <v>0</v>
      </c>
      <c r="P471" s="144">
        <v>0</v>
      </c>
      <c r="Q471" s="144">
        <v>0</v>
      </c>
      <c r="R471" s="208" t="s">
        <v>77</v>
      </c>
      <c r="S471" s="208" t="s">
        <v>77</v>
      </c>
      <c r="T471" s="208" t="s">
        <v>15</v>
      </c>
      <c r="U471" s="208" t="s">
        <v>77</v>
      </c>
      <c r="V471" s="208" t="s">
        <v>77</v>
      </c>
      <c r="W471" s="208" t="s">
        <v>77</v>
      </c>
      <c r="X471" s="208" t="s">
        <v>77</v>
      </c>
      <c r="Y471" s="208" t="s">
        <v>77</v>
      </c>
      <c r="Z471" s="208" t="s">
        <v>77</v>
      </c>
      <c r="AA471" s="205" t="s">
        <v>1069</v>
      </c>
      <c r="AB471" s="205" t="s">
        <v>923</v>
      </c>
      <c r="AC471" s="205" t="s">
        <v>15</v>
      </c>
    </row>
    <row r="472" spans="1:29" s="38" customFormat="1" ht="294.75" customHeight="1" x14ac:dyDescent="0.25">
      <c r="A472" s="158" t="s">
        <v>283</v>
      </c>
      <c r="B472" s="96" t="s">
        <v>535</v>
      </c>
      <c r="C472" s="82" t="s">
        <v>4</v>
      </c>
      <c r="D472" s="82" t="s">
        <v>534</v>
      </c>
      <c r="E472" s="82" t="s">
        <v>924</v>
      </c>
      <c r="F472" s="83">
        <v>76800</v>
      </c>
      <c r="G472" s="83">
        <v>3200</v>
      </c>
      <c r="H472" s="83">
        <v>0</v>
      </c>
      <c r="I472" s="83">
        <v>34290</v>
      </c>
      <c r="J472" s="83">
        <v>80640</v>
      </c>
      <c r="K472" s="83">
        <v>3360</v>
      </c>
      <c r="L472" s="83">
        <v>0</v>
      </c>
      <c r="M472" s="83">
        <v>36000</v>
      </c>
      <c r="N472" s="206">
        <v>0</v>
      </c>
      <c r="O472" s="206">
        <v>0</v>
      </c>
      <c r="P472" s="206">
        <v>0</v>
      </c>
      <c r="Q472" s="206">
        <v>0</v>
      </c>
      <c r="R472" s="82" t="s">
        <v>77</v>
      </c>
      <c r="S472" s="82" t="s">
        <v>77</v>
      </c>
      <c r="T472" s="82" t="s">
        <v>15</v>
      </c>
      <c r="U472" s="82" t="s">
        <v>77</v>
      </c>
      <c r="V472" s="82" t="s">
        <v>77</v>
      </c>
      <c r="W472" s="82" t="s">
        <v>77</v>
      </c>
      <c r="X472" s="82" t="s">
        <v>77</v>
      </c>
      <c r="Y472" s="82" t="s">
        <v>77</v>
      </c>
      <c r="Z472" s="82" t="s">
        <v>77</v>
      </c>
      <c r="AA472" s="203" t="s">
        <v>129</v>
      </c>
      <c r="AB472" s="203" t="s">
        <v>923</v>
      </c>
      <c r="AC472" s="203" t="s">
        <v>922</v>
      </c>
    </row>
    <row r="473" spans="1:29" s="145" customFormat="1" ht="189" customHeight="1" x14ac:dyDescent="0.25">
      <c r="A473" s="182" t="s">
        <v>284</v>
      </c>
      <c r="B473" s="183" t="s">
        <v>842</v>
      </c>
      <c r="C473" s="208" t="s">
        <v>4</v>
      </c>
      <c r="D473" s="208" t="s">
        <v>534</v>
      </c>
      <c r="E473" s="208" t="s">
        <v>843</v>
      </c>
      <c r="F473" s="184">
        <v>84536.8</v>
      </c>
      <c r="G473" s="184">
        <v>3522.37</v>
      </c>
      <c r="H473" s="140">
        <v>0</v>
      </c>
      <c r="I473" s="140">
        <v>0</v>
      </c>
      <c r="J473" s="184">
        <v>753975.7</v>
      </c>
      <c r="K473" s="184">
        <v>31415.65</v>
      </c>
      <c r="L473" s="140">
        <v>0</v>
      </c>
      <c r="M473" s="140">
        <v>0</v>
      </c>
      <c r="N473" s="140">
        <v>0</v>
      </c>
      <c r="O473" s="140">
        <v>0</v>
      </c>
      <c r="P473" s="140">
        <v>0</v>
      </c>
      <c r="Q473" s="140">
        <v>0</v>
      </c>
      <c r="R473" s="208" t="s">
        <v>77</v>
      </c>
      <c r="S473" s="208" t="s">
        <v>77</v>
      </c>
      <c r="T473" s="82" t="s">
        <v>15</v>
      </c>
      <c r="U473" s="208" t="s">
        <v>77</v>
      </c>
      <c r="V473" s="208" t="s">
        <v>77</v>
      </c>
      <c r="W473" s="208" t="s">
        <v>77</v>
      </c>
      <c r="X473" s="208" t="s">
        <v>77</v>
      </c>
      <c r="Y473" s="208" t="s">
        <v>77</v>
      </c>
      <c r="Z473" s="208" t="s">
        <v>77</v>
      </c>
      <c r="AA473" s="143" t="s">
        <v>925</v>
      </c>
      <c r="AB473" s="143" t="s">
        <v>980</v>
      </c>
      <c r="AC473" s="205" t="s">
        <v>1043</v>
      </c>
    </row>
    <row r="474" spans="1:29" s="48" customFormat="1" ht="68.25" customHeight="1" x14ac:dyDescent="0.3">
      <c r="A474" s="24" t="s">
        <v>250</v>
      </c>
      <c r="B474" s="33" t="s">
        <v>187</v>
      </c>
      <c r="C474" s="25" t="s">
        <v>15</v>
      </c>
      <c r="D474" s="25" t="s">
        <v>15</v>
      </c>
      <c r="E474" s="25" t="s">
        <v>15</v>
      </c>
      <c r="F474" s="26">
        <f>F475+F480</f>
        <v>2866921.6</v>
      </c>
      <c r="G474" s="26">
        <f t="shared" ref="G474:Q474" si="167">G475+G480</f>
        <v>0</v>
      </c>
      <c r="H474" s="26">
        <f t="shared" si="167"/>
        <v>0</v>
      </c>
      <c r="I474" s="26">
        <f t="shared" si="167"/>
        <v>0</v>
      </c>
      <c r="J474" s="26">
        <f t="shared" si="167"/>
        <v>3517808.6999999997</v>
      </c>
      <c r="K474" s="26">
        <f t="shared" si="167"/>
        <v>100000</v>
      </c>
      <c r="L474" s="26">
        <f t="shared" si="167"/>
        <v>0</v>
      </c>
      <c r="M474" s="26">
        <f t="shared" si="167"/>
        <v>0</v>
      </c>
      <c r="N474" s="26">
        <f t="shared" si="167"/>
        <v>0</v>
      </c>
      <c r="O474" s="26">
        <f t="shared" si="167"/>
        <v>0</v>
      </c>
      <c r="P474" s="26">
        <f t="shared" si="167"/>
        <v>0</v>
      </c>
      <c r="Q474" s="26">
        <f t="shared" si="167"/>
        <v>0</v>
      </c>
      <c r="R474" s="25" t="s">
        <v>15</v>
      </c>
      <c r="S474" s="25" t="s">
        <v>15</v>
      </c>
      <c r="T474" s="25" t="s">
        <v>15</v>
      </c>
      <c r="U474" s="25" t="s">
        <v>15</v>
      </c>
      <c r="V474" s="25" t="s">
        <v>15</v>
      </c>
      <c r="W474" s="25" t="s">
        <v>15</v>
      </c>
      <c r="X474" s="25" t="s">
        <v>15</v>
      </c>
      <c r="Y474" s="25" t="s">
        <v>15</v>
      </c>
      <c r="Z474" s="25" t="s">
        <v>15</v>
      </c>
      <c r="AA474" s="25" t="s">
        <v>15</v>
      </c>
      <c r="AB474" s="25" t="s">
        <v>15</v>
      </c>
      <c r="AC474" s="25" t="s">
        <v>15</v>
      </c>
    </row>
    <row r="475" spans="1:29" s="42" customFormat="1" ht="42" customHeight="1" x14ac:dyDescent="0.25">
      <c r="A475" s="39" t="s">
        <v>2</v>
      </c>
      <c r="B475" s="55" t="s">
        <v>121</v>
      </c>
      <c r="C475" s="15" t="s">
        <v>15</v>
      </c>
      <c r="D475" s="15" t="s">
        <v>15</v>
      </c>
      <c r="E475" s="15" t="s">
        <v>15</v>
      </c>
      <c r="F475" s="11">
        <f>F476</f>
        <v>206518</v>
      </c>
      <c r="G475" s="11">
        <f t="shared" ref="G475:Q475" si="168">G476</f>
        <v>0</v>
      </c>
      <c r="H475" s="11">
        <f t="shared" si="168"/>
        <v>0</v>
      </c>
      <c r="I475" s="11">
        <f t="shared" si="168"/>
        <v>0</v>
      </c>
      <c r="J475" s="11">
        <f t="shared" si="168"/>
        <v>805225.9</v>
      </c>
      <c r="K475" s="11">
        <f t="shared" si="168"/>
        <v>100000</v>
      </c>
      <c r="L475" s="11">
        <f t="shared" si="168"/>
        <v>0</v>
      </c>
      <c r="M475" s="11">
        <f t="shared" si="168"/>
        <v>0</v>
      </c>
      <c r="N475" s="11">
        <f t="shared" si="168"/>
        <v>0</v>
      </c>
      <c r="O475" s="11">
        <f t="shared" si="168"/>
        <v>0</v>
      </c>
      <c r="P475" s="11">
        <f t="shared" si="168"/>
        <v>0</v>
      </c>
      <c r="Q475" s="11">
        <f t="shared" si="168"/>
        <v>0</v>
      </c>
      <c r="R475" s="15" t="s">
        <v>15</v>
      </c>
      <c r="S475" s="15" t="s">
        <v>15</v>
      </c>
      <c r="T475" s="15" t="s">
        <v>15</v>
      </c>
      <c r="U475" s="15" t="s">
        <v>15</v>
      </c>
      <c r="V475" s="15" t="s">
        <v>15</v>
      </c>
      <c r="W475" s="15" t="s">
        <v>15</v>
      </c>
      <c r="X475" s="15" t="s">
        <v>15</v>
      </c>
      <c r="Y475" s="15" t="s">
        <v>15</v>
      </c>
      <c r="Z475" s="15" t="s">
        <v>15</v>
      </c>
      <c r="AA475" s="15" t="s">
        <v>15</v>
      </c>
      <c r="AB475" s="15" t="s">
        <v>15</v>
      </c>
      <c r="AC475" s="15" t="s">
        <v>15</v>
      </c>
    </row>
    <row r="476" spans="1:29" s="43" customFormat="1" ht="57" customHeight="1" x14ac:dyDescent="0.25">
      <c r="A476" s="2" t="s">
        <v>1</v>
      </c>
      <c r="B476" s="4" t="s">
        <v>282</v>
      </c>
      <c r="C476" s="16" t="s">
        <v>15</v>
      </c>
      <c r="D476" s="16" t="s">
        <v>15</v>
      </c>
      <c r="E476" s="16" t="s">
        <v>15</v>
      </c>
      <c r="F476" s="8">
        <f>F477+F478+F479</f>
        <v>206518</v>
      </c>
      <c r="G476" s="8">
        <f t="shared" ref="G476:Q476" si="169">G477+G478+G479</f>
        <v>0</v>
      </c>
      <c r="H476" s="8">
        <f t="shared" si="169"/>
        <v>0</v>
      </c>
      <c r="I476" s="8">
        <f t="shared" si="169"/>
        <v>0</v>
      </c>
      <c r="J476" s="8">
        <f t="shared" si="169"/>
        <v>805225.9</v>
      </c>
      <c r="K476" s="8">
        <f t="shared" si="169"/>
        <v>100000</v>
      </c>
      <c r="L476" s="8">
        <f t="shared" si="169"/>
        <v>0</v>
      </c>
      <c r="M476" s="8">
        <f t="shared" si="169"/>
        <v>0</v>
      </c>
      <c r="N476" s="8">
        <f t="shared" si="169"/>
        <v>0</v>
      </c>
      <c r="O476" s="8">
        <f t="shared" si="169"/>
        <v>0</v>
      </c>
      <c r="P476" s="8">
        <f t="shared" si="169"/>
        <v>0</v>
      </c>
      <c r="Q476" s="8">
        <f t="shared" si="169"/>
        <v>0</v>
      </c>
      <c r="R476" s="16" t="s">
        <v>15</v>
      </c>
      <c r="S476" s="16" t="s">
        <v>15</v>
      </c>
      <c r="T476" s="16" t="s">
        <v>15</v>
      </c>
      <c r="U476" s="16" t="s">
        <v>15</v>
      </c>
      <c r="V476" s="16" t="s">
        <v>15</v>
      </c>
      <c r="W476" s="16" t="s">
        <v>15</v>
      </c>
      <c r="X476" s="16" t="s">
        <v>15</v>
      </c>
      <c r="Y476" s="16" t="s">
        <v>15</v>
      </c>
      <c r="Z476" s="16" t="s">
        <v>15</v>
      </c>
      <c r="AA476" s="16" t="s">
        <v>15</v>
      </c>
      <c r="AB476" s="16" t="s">
        <v>15</v>
      </c>
      <c r="AC476" s="16" t="s">
        <v>15</v>
      </c>
    </row>
    <row r="477" spans="1:29" s="38" customFormat="1" ht="157.5" x14ac:dyDescent="0.25">
      <c r="A477" s="158" t="s">
        <v>25</v>
      </c>
      <c r="B477" s="87" t="s">
        <v>182</v>
      </c>
      <c r="C477" s="203" t="s">
        <v>39</v>
      </c>
      <c r="D477" s="82" t="s">
        <v>436</v>
      </c>
      <c r="E477" s="82" t="s">
        <v>436</v>
      </c>
      <c r="F477" s="83">
        <f>44898+65526</f>
        <v>110424</v>
      </c>
      <c r="G477" s="83">
        <v>0</v>
      </c>
      <c r="H477" s="83">
        <v>0</v>
      </c>
      <c r="I477" s="83">
        <v>0</v>
      </c>
      <c r="J477" s="83">
        <f>35898+80689.6</f>
        <v>116587.6</v>
      </c>
      <c r="K477" s="83">
        <v>0</v>
      </c>
      <c r="L477" s="206">
        <v>0</v>
      </c>
      <c r="M477" s="206">
        <v>0</v>
      </c>
      <c r="N477" s="206">
        <v>0</v>
      </c>
      <c r="O477" s="206">
        <v>0</v>
      </c>
      <c r="P477" s="206">
        <v>0</v>
      </c>
      <c r="Q477" s="206">
        <v>0</v>
      </c>
      <c r="R477" s="82" t="s">
        <v>77</v>
      </c>
      <c r="S477" s="82" t="s">
        <v>77</v>
      </c>
      <c r="T477" s="82" t="s">
        <v>15</v>
      </c>
      <c r="U477" s="82" t="s">
        <v>77</v>
      </c>
      <c r="V477" s="82" t="s">
        <v>77</v>
      </c>
      <c r="W477" s="82" t="s">
        <v>77</v>
      </c>
      <c r="X477" s="82" t="s">
        <v>77</v>
      </c>
      <c r="Y477" s="82" t="s">
        <v>77</v>
      </c>
      <c r="Z477" s="82" t="s">
        <v>77</v>
      </c>
      <c r="AA477" s="88" t="s">
        <v>440</v>
      </c>
      <c r="AB477" s="203" t="s">
        <v>437</v>
      </c>
      <c r="AC477" s="219" t="s">
        <v>439</v>
      </c>
    </row>
    <row r="478" spans="1:29" s="38" customFormat="1" ht="131.25" customHeight="1" x14ac:dyDescent="0.25">
      <c r="A478" s="158" t="s">
        <v>78</v>
      </c>
      <c r="B478" s="86" t="s">
        <v>188</v>
      </c>
      <c r="C478" s="203" t="s">
        <v>39</v>
      </c>
      <c r="D478" s="82" t="s">
        <v>436</v>
      </c>
      <c r="E478" s="82" t="s">
        <v>436</v>
      </c>
      <c r="F478" s="83">
        <f>96094</f>
        <v>96094</v>
      </c>
      <c r="G478" s="83">
        <v>0</v>
      </c>
      <c r="H478" s="83">
        <v>0</v>
      </c>
      <c r="I478" s="83">
        <v>0</v>
      </c>
      <c r="J478" s="83">
        <f>188638.3</f>
        <v>188638.3</v>
      </c>
      <c r="K478" s="83">
        <v>0</v>
      </c>
      <c r="L478" s="206">
        <v>0</v>
      </c>
      <c r="M478" s="206">
        <v>0</v>
      </c>
      <c r="N478" s="206">
        <v>0</v>
      </c>
      <c r="O478" s="206">
        <v>0</v>
      </c>
      <c r="P478" s="206">
        <v>0</v>
      </c>
      <c r="Q478" s="206">
        <v>0</v>
      </c>
      <c r="R478" s="82" t="s">
        <v>77</v>
      </c>
      <c r="S478" s="82" t="s">
        <v>77</v>
      </c>
      <c r="T478" s="82" t="s">
        <v>15</v>
      </c>
      <c r="U478" s="82" t="s">
        <v>77</v>
      </c>
      <c r="V478" s="82" t="s">
        <v>77</v>
      </c>
      <c r="W478" s="82" t="s">
        <v>77</v>
      </c>
      <c r="X478" s="82" t="s">
        <v>77</v>
      </c>
      <c r="Y478" s="82" t="s">
        <v>77</v>
      </c>
      <c r="Z478" s="82" t="s">
        <v>77</v>
      </c>
      <c r="AA478" s="82" t="s">
        <v>441</v>
      </c>
      <c r="AB478" s="203" t="s">
        <v>438</v>
      </c>
      <c r="AC478" s="219"/>
    </row>
    <row r="479" spans="1:29" s="38" customFormat="1" ht="173.25" x14ac:dyDescent="0.25">
      <c r="A479" s="158" t="s">
        <v>86</v>
      </c>
      <c r="B479" s="86" t="s">
        <v>183</v>
      </c>
      <c r="C479" s="203" t="s">
        <v>39</v>
      </c>
      <c r="D479" s="82" t="s">
        <v>436</v>
      </c>
      <c r="E479" s="82" t="s">
        <v>436</v>
      </c>
      <c r="F479" s="83">
        <v>0</v>
      </c>
      <c r="G479" s="83">
        <v>0</v>
      </c>
      <c r="H479" s="83">
        <v>0</v>
      </c>
      <c r="I479" s="83">
        <v>0</v>
      </c>
      <c r="J479" s="83">
        <v>500000</v>
      </c>
      <c r="K479" s="83">
        <v>100000</v>
      </c>
      <c r="L479" s="206">
        <v>0</v>
      </c>
      <c r="M479" s="206">
        <v>0</v>
      </c>
      <c r="N479" s="89">
        <v>0</v>
      </c>
      <c r="O479" s="83">
        <v>0</v>
      </c>
      <c r="P479" s="83">
        <v>0</v>
      </c>
      <c r="Q479" s="83">
        <v>0</v>
      </c>
      <c r="R479" s="82" t="s">
        <v>77</v>
      </c>
      <c r="S479" s="82" t="s">
        <v>77</v>
      </c>
      <c r="T479" s="82" t="s">
        <v>15</v>
      </c>
      <c r="U479" s="82" t="s">
        <v>77</v>
      </c>
      <c r="V479" s="82" t="s">
        <v>77</v>
      </c>
      <c r="W479" s="82" t="s">
        <v>77</v>
      </c>
      <c r="X479" s="82" t="s">
        <v>77</v>
      </c>
      <c r="Y479" s="82" t="s">
        <v>77</v>
      </c>
      <c r="Z479" s="82" t="s">
        <v>77</v>
      </c>
      <c r="AA479" s="203" t="s">
        <v>558</v>
      </c>
      <c r="AB479" s="203" t="s">
        <v>438</v>
      </c>
      <c r="AC479" s="203" t="s">
        <v>77</v>
      </c>
    </row>
    <row r="480" spans="1:29" s="21" customFormat="1" ht="62.25" customHeight="1" x14ac:dyDescent="0.25">
      <c r="A480" s="2" t="s">
        <v>29</v>
      </c>
      <c r="B480" s="4" t="s">
        <v>31</v>
      </c>
      <c r="C480" s="16" t="s">
        <v>15</v>
      </c>
      <c r="D480" s="16" t="s">
        <v>15</v>
      </c>
      <c r="E480" s="16" t="s">
        <v>15</v>
      </c>
      <c r="F480" s="8">
        <f>F481</f>
        <v>2660403.6</v>
      </c>
      <c r="G480" s="8">
        <f t="shared" ref="G480:Q480" si="170">G481</f>
        <v>0</v>
      </c>
      <c r="H480" s="8">
        <f t="shared" si="170"/>
        <v>0</v>
      </c>
      <c r="I480" s="8">
        <f t="shared" si="170"/>
        <v>0</v>
      </c>
      <c r="J480" s="8">
        <f t="shared" si="170"/>
        <v>2712582.8</v>
      </c>
      <c r="K480" s="8">
        <f t="shared" si="170"/>
        <v>0</v>
      </c>
      <c r="L480" s="8">
        <f t="shared" si="170"/>
        <v>0</v>
      </c>
      <c r="M480" s="8">
        <f t="shared" si="170"/>
        <v>0</v>
      </c>
      <c r="N480" s="8">
        <f t="shared" si="170"/>
        <v>0</v>
      </c>
      <c r="O480" s="8">
        <f t="shared" si="170"/>
        <v>0</v>
      </c>
      <c r="P480" s="8">
        <f t="shared" si="170"/>
        <v>0</v>
      </c>
      <c r="Q480" s="8">
        <f t="shared" si="170"/>
        <v>0</v>
      </c>
      <c r="R480" s="16" t="s">
        <v>15</v>
      </c>
      <c r="S480" s="16" t="s">
        <v>15</v>
      </c>
      <c r="T480" s="16" t="s">
        <v>15</v>
      </c>
      <c r="U480" s="16" t="s">
        <v>15</v>
      </c>
      <c r="V480" s="16" t="s">
        <v>15</v>
      </c>
      <c r="W480" s="16" t="s">
        <v>15</v>
      </c>
      <c r="X480" s="16" t="s">
        <v>15</v>
      </c>
      <c r="Y480" s="16" t="s">
        <v>15</v>
      </c>
      <c r="Z480" s="16" t="s">
        <v>15</v>
      </c>
      <c r="AA480" s="16" t="s">
        <v>15</v>
      </c>
      <c r="AB480" s="16" t="s">
        <v>15</v>
      </c>
      <c r="AC480" s="16" t="s">
        <v>15</v>
      </c>
    </row>
    <row r="481" spans="1:29" s="37" customFormat="1" ht="62.25" customHeight="1" x14ac:dyDescent="0.25">
      <c r="A481" s="13" t="s">
        <v>1</v>
      </c>
      <c r="B481" s="35" t="s">
        <v>304</v>
      </c>
      <c r="C481" s="68" t="s">
        <v>15</v>
      </c>
      <c r="D481" s="68" t="s">
        <v>15</v>
      </c>
      <c r="E481" s="68" t="s">
        <v>15</v>
      </c>
      <c r="F481" s="20">
        <f>F482+F483</f>
        <v>2660403.6</v>
      </c>
      <c r="G481" s="20">
        <f t="shared" ref="G481:Q481" si="171">G482+G483</f>
        <v>0</v>
      </c>
      <c r="H481" s="20">
        <f t="shared" si="171"/>
        <v>0</v>
      </c>
      <c r="I481" s="20">
        <f t="shared" si="171"/>
        <v>0</v>
      </c>
      <c r="J481" s="20">
        <f t="shared" si="171"/>
        <v>2712582.8</v>
      </c>
      <c r="K481" s="20">
        <f t="shared" si="171"/>
        <v>0</v>
      </c>
      <c r="L481" s="20">
        <f t="shared" si="171"/>
        <v>0</v>
      </c>
      <c r="M481" s="20">
        <f t="shared" si="171"/>
        <v>0</v>
      </c>
      <c r="N481" s="20">
        <f t="shared" si="171"/>
        <v>0</v>
      </c>
      <c r="O481" s="20">
        <f t="shared" si="171"/>
        <v>0</v>
      </c>
      <c r="P481" s="20">
        <f t="shared" si="171"/>
        <v>0</v>
      </c>
      <c r="Q481" s="20">
        <f t="shared" si="171"/>
        <v>0</v>
      </c>
      <c r="R481" s="68" t="s">
        <v>15</v>
      </c>
      <c r="S481" s="68" t="s">
        <v>15</v>
      </c>
      <c r="T481" s="68" t="s">
        <v>15</v>
      </c>
      <c r="U481" s="68" t="s">
        <v>15</v>
      </c>
      <c r="V481" s="68" t="s">
        <v>15</v>
      </c>
      <c r="W481" s="68" t="s">
        <v>15</v>
      </c>
      <c r="X481" s="68" t="s">
        <v>15</v>
      </c>
      <c r="Y481" s="68" t="s">
        <v>15</v>
      </c>
      <c r="Z481" s="68" t="s">
        <v>15</v>
      </c>
      <c r="AA481" s="68" t="s">
        <v>15</v>
      </c>
      <c r="AB481" s="68" t="s">
        <v>15</v>
      </c>
      <c r="AC481" s="68" t="s">
        <v>15</v>
      </c>
    </row>
    <row r="482" spans="1:29" s="38" customFormat="1" ht="168" customHeight="1" x14ac:dyDescent="0.25">
      <c r="A482" s="158" t="s">
        <v>25</v>
      </c>
      <c r="B482" s="85" t="s">
        <v>184</v>
      </c>
      <c r="C482" s="203" t="s">
        <v>39</v>
      </c>
      <c r="D482" s="82" t="s">
        <v>436</v>
      </c>
      <c r="E482" s="82" t="s">
        <v>436</v>
      </c>
      <c r="F482" s="140">
        <f>178243.2+960798.3</f>
        <v>1139041.5</v>
      </c>
      <c r="G482" s="140">
        <v>0</v>
      </c>
      <c r="H482" s="140">
        <f t="shared" ref="G482:Q485" si="172">H483</f>
        <v>0</v>
      </c>
      <c r="I482" s="140">
        <f t="shared" si="172"/>
        <v>0</v>
      </c>
      <c r="J482" s="140">
        <f>178243.2+1012977.5</f>
        <v>1191220.7</v>
      </c>
      <c r="K482" s="140">
        <v>0</v>
      </c>
      <c r="L482" s="140">
        <f t="shared" si="172"/>
        <v>0</v>
      </c>
      <c r="M482" s="140">
        <f t="shared" si="172"/>
        <v>0</v>
      </c>
      <c r="N482" s="206">
        <v>0</v>
      </c>
      <c r="O482" s="83">
        <f t="shared" si="172"/>
        <v>0</v>
      </c>
      <c r="P482" s="83">
        <f t="shared" si="172"/>
        <v>0</v>
      </c>
      <c r="Q482" s="83">
        <f t="shared" si="172"/>
        <v>0</v>
      </c>
      <c r="R482" s="82" t="s">
        <v>77</v>
      </c>
      <c r="S482" s="82" t="s">
        <v>77</v>
      </c>
      <c r="T482" s="82" t="s">
        <v>15</v>
      </c>
      <c r="U482" s="82" t="s">
        <v>77</v>
      </c>
      <c r="V482" s="82" t="s">
        <v>77</v>
      </c>
      <c r="W482" s="82" t="s">
        <v>77</v>
      </c>
      <c r="X482" s="82" t="s">
        <v>77</v>
      </c>
      <c r="Y482" s="82" t="s">
        <v>77</v>
      </c>
      <c r="Z482" s="82" t="s">
        <v>77</v>
      </c>
      <c r="AA482" s="203" t="s">
        <v>185</v>
      </c>
      <c r="AB482" s="203" t="s">
        <v>438</v>
      </c>
      <c r="AC482" s="203" t="s">
        <v>77</v>
      </c>
    </row>
    <row r="483" spans="1:29" s="38" customFormat="1" ht="150" customHeight="1" x14ac:dyDescent="0.25">
      <c r="A483" s="158" t="s">
        <v>78</v>
      </c>
      <c r="B483" s="86" t="s">
        <v>186</v>
      </c>
      <c r="C483" s="203" t="s">
        <v>39</v>
      </c>
      <c r="D483" s="82" t="s">
        <v>436</v>
      </c>
      <c r="E483" s="82" t="s">
        <v>436</v>
      </c>
      <c r="F483" s="140">
        <f>721534.3+799827.8</f>
        <v>1521362.1</v>
      </c>
      <c r="G483" s="140">
        <v>0</v>
      </c>
      <c r="H483" s="140">
        <f t="shared" si="172"/>
        <v>0</v>
      </c>
      <c r="I483" s="140">
        <f t="shared" si="172"/>
        <v>0</v>
      </c>
      <c r="J483" s="140">
        <f>721534.3+799827.8</f>
        <v>1521362.1</v>
      </c>
      <c r="K483" s="140">
        <v>0</v>
      </c>
      <c r="L483" s="83">
        <f t="shared" si="172"/>
        <v>0</v>
      </c>
      <c r="M483" s="83">
        <f t="shared" si="172"/>
        <v>0</v>
      </c>
      <c r="N483" s="206">
        <v>0</v>
      </c>
      <c r="O483" s="83">
        <f t="shared" si="172"/>
        <v>0</v>
      </c>
      <c r="P483" s="83">
        <f t="shared" si="172"/>
        <v>0</v>
      </c>
      <c r="Q483" s="83">
        <f t="shared" si="172"/>
        <v>0</v>
      </c>
      <c r="R483" s="82" t="s">
        <v>77</v>
      </c>
      <c r="S483" s="82" t="s">
        <v>77</v>
      </c>
      <c r="T483" s="82" t="s">
        <v>15</v>
      </c>
      <c r="U483" s="82" t="s">
        <v>77</v>
      </c>
      <c r="V483" s="82" t="s">
        <v>77</v>
      </c>
      <c r="W483" s="82" t="s">
        <v>77</v>
      </c>
      <c r="X483" s="82" t="s">
        <v>77</v>
      </c>
      <c r="Y483" s="82" t="s">
        <v>77</v>
      </c>
      <c r="Z483" s="82" t="s">
        <v>77</v>
      </c>
      <c r="AA483" s="82" t="s">
        <v>442</v>
      </c>
      <c r="AB483" s="203" t="s">
        <v>438</v>
      </c>
      <c r="AC483" s="203" t="s">
        <v>77</v>
      </c>
    </row>
    <row r="484" spans="1:29" s="77" customFormat="1" ht="142.5" customHeight="1" x14ac:dyDescent="0.3">
      <c r="A484" s="24" t="s">
        <v>251</v>
      </c>
      <c r="B484" s="30" t="s">
        <v>395</v>
      </c>
      <c r="C484" s="29" t="s">
        <v>77</v>
      </c>
      <c r="D484" s="29" t="s">
        <v>77</v>
      </c>
      <c r="E484" s="29" t="s">
        <v>77</v>
      </c>
      <c r="F484" s="56">
        <f>F485</f>
        <v>280448.59999999998</v>
      </c>
      <c r="G484" s="56">
        <f t="shared" ref="G484" si="173">G485</f>
        <v>26093.7</v>
      </c>
      <c r="H484" s="56">
        <f t="shared" si="172"/>
        <v>0</v>
      </c>
      <c r="I484" s="56">
        <f t="shared" si="172"/>
        <v>0</v>
      </c>
      <c r="J484" s="56">
        <f t="shared" si="172"/>
        <v>290203.8</v>
      </c>
      <c r="K484" s="56">
        <f t="shared" si="172"/>
        <v>26093.7</v>
      </c>
      <c r="L484" s="56">
        <f t="shared" si="172"/>
        <v>0</v>
      </c>
      <c r="M484" s="56">
        <f t="shared" si="172"/>
        <v>0</v>
      </c>
      <c r="N484" s="56">
        <f t="shared" si="172"/>
        <v>513</v>
      </c>
      <c r="O484" s="56">
        <f t="shared" si="172"/>
        <v>0</v>
      </c>
      <c r="P484" s="56">
        <f t="shared" si="172"/>
        <v>0</v>
      </c>
      <c r="Q484" s="56">
        <f t="shared" si="172"/>
        <v>0</v>
      </c>
      <c r="R484" s="29" t="s">
        <v>77</v>
      </c>
      <c r="S484" s="29" t="s">
        <v>77</v>
      </c>
      <c r="T484" s="29" t="s">
        <v>77</v>
      </c>
      <c r="U484" s="29" t="s">
        <v>77</v>
      </c>
      <c r="V484" s="29" t="s">
        <v>77</v>
      </c>
      <c r="W484" s="29" t="s">
        <v>77</v>
      </c>
      <c r="X484" s="29" t="s">
        <v>77</v>
      </c>
      <c r="Y484" s="29" t="s">
        <v>77</v>
      </c>
      <c r="Z484" s="29" t="s">
        <v>77</v>
      </c>
      <c r="AA484" s="29" t="s">
        <v>77</v>
      </c>
      <c r="AB484" s="29" t="s">
        <v>77</v>
      </c>
      <c r="AC484" s="29" t="s">
        <v>77</v>
      </c>
    </row>
    <row r="485" spans="1:29" s="79" customFormat="1" ht="67.5" customHeight="1" x14ac:dyDescent="0.25">
      <c r="A485" s="2" t="s">
        <v>2</v>
      </c>
      <c r="B485" s="4" t="s">
        <v>31</v>
      </c>
      <c r="C485" s="2" t="s">
        <v>77</v>
      </c>
      <c r="D485" s="2" t="s">
        <v>77</v>
      </c>
      <c r="E485" s="2" t="s">
        <v>77</v>
      </c>
      <c r="F485" s="81">
        <f>F486</f>
        <v>280448.59999999998</v>
      </c>
      <c r="G485" s="81">
        <f t="shared" si="172"/>
        <v>26093.7</v>
      </c>
      <c r="H485" s="81">
        <f t="shared" si="172"/>
        <v>0</v>
      </c>
      <c r="I485" s="81">
        <f t="shared" si="172"/>
        <v>0</v>
      </c>
      <c r="J485" s="81">
        <f t="shared" si="172"/>
        <v>290203.8</v>
      </c>
      <c r="K485" s="81">
        <f t="shared" si="172"/>
        <v>26093.7</v>
      </c>
      <c r="L485" s="81">
        <f t="shared" si="172"/>
        <v>0</v>
      </c>
      <c r="M485" s="81">
        <f t="shared" si="172"/>
        <v>0</v>
      </c>
      <c r="N485" s="81">
        <f t="shared" si="172"/>
        <v>513</v>
      </c>
      <c r="O485" s="81">
        <f t="shared" si="172"/>
        <v>0</v>
      </c>
      <c r="P485" s="81">
        <f t="shared" si="172"/>
        <v>0</v>
      </c>
      <c r="Q485" s="81">
        <f t="shared" si="172"/>
        <v>0</v>
      </c>
      <c r="R485" s="2" t="s">
        <v>77</v>
      </c>
      <c r="S485" s="2" t="s">
        <v>77</v>
      </c>
      <c r="T485" s="2" t="s">
        <v>77</v>
      </c>
      <c r="U485" s="2" t="s">
        <v>77</v>
      </c>
      <c r="V485" s="2" t="s">
        <v>77</v>
      </c>
      <c r="W485" s="2" t="s">
        <v>77</v>
      </c>
      <c r="X485" s="2" t="s">
        <v>77</v>
      </c>
      <c r="Y485" s="2" t="s">
        <v>77</v>
      </c>
      <c r="Z485" s="2" t="s">
        <v>77</v>
      </c>
      <c r="AA485" s="2" t="s">
        <v>77</v>
      </c>
      <c r="AB485" s="2" t="s">
        <v>77</v>
      </c>
      <c r="AC485" s="2" t="s">
        <v>77</v>
      </c>
    </row>
    <row r="486" spans="1:29" s="84" customFormat="1" ht="56.25" customHeight="1" x14ac:dyDescent="0.25">
      <c r="A486" s="82" t="s">
        <v>1</v>
      </c>
      <c r="B486" s="96" t="s">
        <v>389</v>
      </c>
      <c r="C486" s="82" t="s">
        <v>77</v>
      </c>
      <c r="D486" s="82" t="s">
        <v>77</v>
      </c>
      <c r="E486" s="82" t="s">
        <v>77</v>
      </c>
      <c r="F486" s="83">
        <f>F487+F488+F489+F490+F491+F492+F493+F494</f>
        <v>280448.59999999998</v>
      </c>
      <c r="G486" s="83">
        <f t="shared" ref="G486:Q486" si="174">G487+G488+G489+G490+G491+G492+G493+G494</f>
        <v>26093.7</v>
      </c>
      <c r="H486" s="83">
        <f t="shared" si="174"/>
        <v>0</v>
      </c>
      <c r="I486" s="83">
        <f t="shared" si="174"/>
        <v>0</v>
      </c>
      <c r="J486" s="83">
        <f t="shared" si="174"/>
        <v>290203.8</v>
      </c>
      <c r="K486" s="83">
        <f t="shared" si="174"/>
        <v>26093.7</v>
      </c>
      <c r="L486" s="83">
        <f t="shared" si="174"/>
        <v>0</v>
      </c>
      <c r="M486" s="83">
        <f t="shared" si="174"/>
        <v>0</v>
      </c>
      <c r="N486" s="83">
        <f t="shared" si="174"/>
        <v>513</v>
      </c>
      <c r="O486" s="83">
        <f t="shared" si="174"/>
        <v>0</v>
      </c>
      <c r="P486" s="83">
        <f t="shared" si="174"/>
        <v>0</v>
      </c>
      <c r="Q486" s="83">
        <f t="shared" si="174"/>
        <v>0</v>
      </c>
      <c r="R486" s="82" t="s">
        <v>77</v>
      </c>
      <c r="S486" s="82" t="s">
        <v>77</v>
      </c>
      <c r="T486" s="82" t="s">
        <v>15</v>
      </c>
      <c r="U486" s="82" t="s">
        <v>77</v>
      </c>
      <c r="V486" s="82" t="s">
        <v>77</v>
      </c>
      <c r="W486" s="82" t="s">
        <v>77</v>
      </c>
      <c r="X486" s="82" t="s">
        <v>77</v>
      </c>
      <c r="Y486" s="82" t="s">
        <v>77</v>
      </c>
      <c r="Z486" s="82" t="s">
        <v>77</v>
      </c>
      <c r="AA486" s="82" t="s">
        <v>77</v>
      </c>
      <c r="AB486" s="82" t="s">
        <v>77</v>
      </c>
      <c r="AC486" s="82" t="s">
        <v>77</v>
      </c>
    </row>
    <row r="487" spans="1:29" s="168" customFormat="1" ht="150.75" customHeight="1" x14ac:dyDescent="0.25">
      <c r="A487" s="182" t="s">
        <v>25</v>
      </c>
      <c r="B487" s="183" t="s">
        <v>999</v>
      </c>
      <c r="C487" s="205" t="s">
        <v>39</v>
      </c>
      <c r="D487" s="205" t="s">
        <v>591</v>
      </c>
      <c r="E487" s="205" t="s">
        <v>591</v>
      </c>
      <c r="F487" s="184">
        <v>29459.200000000001</v>
      </c>
      <c r="G487" s="184">
        <v>3402.9</v>
      </c>
      <c r="H487" s="184">
        <v>0</v>
      </c>
      <c r="I487" s="184">
        <v>0</v>
      </c>
      <c r="J487" s="184">
        <v>30074.7</v>
      </c>
      <c r="K487" s="184">
        <v>3402.9</v>
      </c>
      <c r="L487" s="184">
        <v>0</v>
      </c>
      <c r="M487" s="184">
        <v>0</v>
      </c>
      <c r="N487" s="184">
        <v>0</v>
      </c>
      <c r="O487" s="184">
        <v>0</v>
      </c>
      <c r="P487" s="184">
        <v>0</v>
      </c>
      <c r="Q487" s="184">
        <v>0</v>
      </c>
      <c r="R487" s="182">
        <v>2023</v>
      </c>
      <c r="S487" s="182">
        <v>2024</v>
      </c>
      <c r="T487" s="82" t="s">
        <v>15</v>
      </c>
      <c r="U487" s="182" t="s">
        <v>77</v>
      </c>
      <c r="V487" s="182" t="s">
        <v>77</v>
      </c>
      <c r="W487" s="182" t="s">
        <v>77</v>
      </c>
      <c r="X487" s="182" t="s">
        <v>77</v>
      </c>
      <c r="Y487" s="182" t="s">
        <v>77</v>
      </c>
      <c r="Z487" s="182" t="s">
        <v>77</v>
      </c>
      <c r="AA487" s="182" t="s">
        <v>77</v>
      </c>
      <c r="AB487" s="182" t="s">
        <v>77</v>
      </c>
      <c r="AC487" s="182" t="s">
        <v>77</v>
      </c>
    </row>
    <row r="488" spans="1:29" s="168" customFormat="1" ht="108" customHeight="1" x14ac:dyDescent="0.25">
      <c r="A488" s="182" t="s">
        <v>78</v>
      </c>
      <c r="B488" s="183" t="s">
        <v>998</v>
      </c>
      <c r="C488" s="205" t="s">
        <v>39</v>
      </c>
      <c r="D488" s="205" t="s">
        <v>425</v>
      </c>
      <c r="E488" s="205" t="s">
        <v>425</v>
      </c>
      <c r="F488" s="184">
        <v>1393.8</v>
      </c>
      <c r="G488" s="184">
        <v>239</v>
      </c>
      <c r="H488" s="184">
        <v>0</v>
      </c>
      <c r="I488" s="184">
        <v>0</v>
      </c>
      <c r="J488" s="184">
        <v>1438.3</v>
      </c>
      <c r="K488" s="184">
        <v>239</v>
      </c>
      <c r="L488" s="184">
        <v>0</v>
      </c>
      <c r="M488" s="184">
        <v>0</v>
      </c>
      <c r="N488" s="184">
        <v>0</v>
      </c>
      <c r="O488" s="184">
        <v>0</v>
      </c>
      <c r="P488" s="184">
        <v>0</v>
      </c>
      <c r="Q488" s="184">
        <v>0</v>
      </c>
      <c r="R488" s="182">
        <v>2023</v>
      </c>
      <c r="S488" s="182">
        <v>2024</v>
      </c>
      <c r="T488" s="82" t="s">
        <v>15</v>
      </c>
      <c r="U488" s="182" t="s">
        <v>77</v>
      </c>
      <c r="V488" s="182" t="s">
        <v>77</v>
      </c>
      <c r="W488" s="182" t="s">
        <v>77</v>
      </c>
      <c r="X488" s="182" t="s">
        <v>77</v>
      </c>
      <c r="Y488" s="182" t="s">
        <v>77</v>
      </c>
      <c r="Z488" s="182" t="s">
        <v>77</v>
      </c>
      <c r="AA488" s="182" t="s">
        <v>77</v>
      </c>
      <c r="AB488" s="182" t="s">
        <v>77</v>
      </c>
      <c r="AC488" s="182" t="s">
        <v>77</v>
      </c>
    </row>
    <row r="489" spans="1:29" s="186" customFormat="1" ht="158.25" customHeight="1" x14ac:dyDescent="0.25">
      <c r="A489" s="208" t="s">
        <v>86</v>
      </c>
      <c r="B489" s="185" t="s">
        <v>997</v>
      </c>
      <c r="C489" s="208" t="s">
        <v>39</v>
      </c>
      <c r="D489" s="208" t="s">
        <v>371</v>
      </c>
      <c r="E489" s="208" t="s">
        <v>371</v>
      </c>
      <c r="F489" s="140">
        <v>513</v>
      </c>
      <c r="G489" s="140">
        <v>0</v>
      </c>
      <c r="H489" s="140">
        <v>0</v>
      </c>
      <c r="I489" s="140">
        <v>0</v>
      </c>
      <c r="J489" s="140">
        <v>513</v>
      </c>
      <c r="K489" s="140">
        <v>0</v>
      </c>
      <c r="L489" s="140">
        <v>0</v>
      </c>
      <c r="M489" s="140">
        <v>0</v>
      </c>
      <c r="N489" s="140">
        <v>513</v>
      </c>
      <c r="O489" s="140">
        <v>0</v>
      </c>
      <c r="P489" s="140">
        <v>0</v>
      </c>
      <c r="Q489" s="140">
        <v>0</v>
      </c>
      <c r="R489" s="208" t="s">
        <v>77</v>
      </c>
      <c r="S489" s="208" t="s">
        <v>77</v>
      </c>
      <c r="T489" s="82" t="s">
        <v>15</v>
      </c>
      <c r="U489" s="208" t="s">
        <v>77</v>
      </c>
      <c r="V489" s="208" t="s">
        <v>77</v>
      </c>
      <c r="W489" s="208" t="s">
        <v>77</v>
      </c>
      <c r="X489" s="208" t="s">
        <v>77</v>
      </c>
      <c r="Y489" s="208" t="s">
        <v>77</v>
      </c>
      <c r="Z489" s="208" t="s">
        <v>77</v>
      </c>
      <c r="AA489" s="208" t="s">
        <v>931</v>
      </c>
      <c r="AB489" s="208" t="s">
        <v>917</v>
      </c>
      <c r="AC489" s="208" t="s">
        <v>372</v>
      </c>
    </row>
    <row r="490" spans="1:29" s="189" customFormat="1" ht="124.5" customHeight="1" x14ac:dyDescent="0.25">
      <c r="A490" s="182" t="s">
        <v>283</v>
      </c>
      <c r="B490" s="185" t="s">
        <v>996</v>
      </c>
      <c r="C490" s="208" t="s">
        <v>39</v>
      </c>
      <c r="D490" s="208" t="s">
        <v>430</v>
      </c>
      <c r="E490" s="208" t="s">
        <v>430</v>
      </c>
      <c r="F490" s="187">
        <v>6093.2</v>
      </c>
      <c r="G490" s="187">
        <v>403.2</v>
      </c>
      <c r="H490" s="187">
        <v>0</v>
      </c>
      <c r="I490" s="187">
        <v>0</v>
      </c>
      <c r="J490" s="187">
        <v>6323.5</v>
      </c>
      <c r="K490" s="187">
        <v>403.2</v>
      </c>
      <c r="L490" s="187">
        <v>0</v>
      </c>
      <c r="M490" s="187">
        <v>0</v>
      </c>
      <c r="N490" s="187">
        <v>0</v>
      </c>
      <c r="O490" s="187">
        <v>0</v>
      </c>
      <c r="P490" s="187">
        <v>0</v>
      </c>
      <c r="Q490" s="187">
        <v>0</v>
      </c>
      <c r="R490" s="188" t="s">
        <v>77</v>
      </c>
      <c r="S490" s="188" t="s">
        <v>77</v>
      </c>
      <c r="T490" s="208" t="s">
        <v>15</v>
      </c>
      <c r="U490" s="188" t="s">
        <v>77</v>
      </c>
      <c r="V490" s="188" t="s">
        <v>77</v>
      </c>
      <c r="W490" s="188" t="s">
        <v>77</v>
      </c>
      <c r="X490" s="188" t="s">
        <v>77</v>
      </c>
      <c r="Y490" s="188" t="s">
        <v>77</v>
      </c>
      <c r="Z490" s="188" t="s">
        <v>77</v>
      </c>
      <c r="AA490" s="205" t="s">
        <v>932</v>
      </c>
      <c r="AB490" s="205" t="s">
        <v>77</v>
      </c>
      <c r="AC490" s="205" t="s">
        <v>77</v>
      </c>
    </row>
    <row r="491" spans="1:29" s="168" customFormat="1" ht="120.75" customHeight="1" x14ac:dyDescent="0.25">
      <c r="A491" s="182" t="s">
        <v>284</v>
      </c>
      <c r="B491" s="183" t="s">
        <v>1002</v>
      </c>
      <c r="C491" s="205" t="s">
        <v>39</v>
      </c>
      <c r="D491" s="205" t="s">
        <v>1001</v>
      </c>
      <c r="E491" s="205" t="s">
        <v>396</v>
      </c>
      <c r="F491" s="184">
        <v>175.4</v>
      </c>
      <c r="G491" s="184">
        <v>0</v>
      </c>
      <c r="H491" s="184">
        <v>0</v>
      </c>
      <c r="I491" s="184">
        <v>0</v>
      </c>
      <c r="J491" s="184">
        <v>175.4</v>
      </c>
      <c r="K491" s="184">
        <v>0</v>
      </c>
      <c r="L491" s="184">
        <v>0</v>
      </c>
      <c r="M491" s="184">
        <v>0</v>
      </c>
      <c r="N491" s="184">
        <v>0</v>
      </c>
      <c r="O491" s="184">
        <v>0</v>
      </c>
      <c r="P491" s="184">
        <v>0</v>
      </c>
      <c r="Q491" s="184">
        <v>0</v>
      </c>
      <c r="R491" s="208" t="s">
        <v>77</v>
      </c>
      <c r="S491" s="208" t="s">
        <v>77</v>
      </c>
      <c r="T491" s="82" t="s">
        <v>15</v>
      </c>
      <c r="U491" s="182" t="s">
        <v>77</v>
      </c>
      <c r="V491" s="182" t="s">
        <v>77</v>
      </c>
      <c r="W491" s="182" t="s">
        <v>77</v>
      </c>
      <c r="X491" s="182" t="s">
        <v>77</v>
      </c>
      <c r="Y491" s="182" t="s">
        <v>77</v>
      </c>
      <c r="Z491" s="182" t="s">
        <v>77</v>
      </c>
      <c r="AA491" s="182" t="s">
        <v>77</v>
      </c>
      <c r="AB491" s="182" t="s">
        <v>77</v>
      </c>
      <c r="AC491" s="182" t="s">
        <v>77</v>
      </c>
    </row>
    <row r="492" spans="1:29" s="168" customFormat="1" ht="120.75" customHeight="1" x14ac:dyDescent="0.25">
      <c r="A492" s="182" t="s">
        <v>285</v>
      </c>
      <c r="B492" s="183" t="s">
        <v>1000</v>
      </c>
      <c r="C492" s="205" t="s">
        <v>39</v>
      </c>
      <c r="D492" s="205" t="s">
        <v>1001</v>
      </c>
      <c r="E492" s="205" t="s">
        <v>396</v>
      </c>
      <c r="F492" s="184">
        <v>33859.599999999999</v>
      </c>
      <c r="G492" s="184">
        <v>3791.6</v>
      </c>
      <c r="H492" s="184">
        <v>0</v>
      </c>
      <c r="I492" s="184">
        <v>0</v>
      </c>
      <c r="J492" s="184">
        <v>34695.599999999999</v>
      </c>
      <c r="K492" s="184">
        <v>3791.6</v>
      </c>
      <c r="L492" s="184">
        <v>0</v>
      </c>
      <c r="M492" s="184">
        <v>0</v>
      </c>
      <c r="N492" s="184">
        <v>0</v>
      </c>
      <c r="O492" s="184">
        <v>0</v>
      </c>
      <c r="P492" s="184">
        <v>0</v>
      </c>
      <c r="Q492" s="184">
        <v>0</v>
      </c>
      <c r="R492" s="208" t="s">
        <v>77</v>
      </c>
      <c r="S492" s="208" t="s">
        <v>77</v>
      </c>
      <c r="T492" s="82" t="s">
        <v>15</v>
      </c>
      <c r="U492" s="182" t="s">
        <v>77</v>
      </c>
      <c r="V492" s="182" t="s">
        <v>77</v>
      </c>
      <c r="W492" s="182" t="s">
        <v>77</v>
      </c>
      <c r="X492" s="182" t="s">
        <v>77</v>
      </c>
      <c r="Y492" s="182" t="s">
        <v>77</v>
      </c>
      <c r="Z492" s="182" t="s">
        <v>77</v>
      </c>
      <c r="AA492" s="205" t="s">
        <v>1039</v>
      </c>
      <c r="AB492" s="143" t="s">
        <v>1038</v>
      </c>
      <c r="AC492" s="182" t="s">
        <v>1037</v>
      </c>
    </row>
    <row r="493" spans="1:29" s="168" customFormat="1" ht="120.75" customHeight="1" x14ac:dyDescent="0.25">
      <c r="A493" s="182" t="s">
        <v>286</v>
      </c>
      <c r="B493" s="183" t="s">
        <v>995</v>
      </c>
      <c r="C493" s="205" t="s">
        <v>39</v>
      </c>
      <c r="D493" s="205" t="s">
        <v>353</v>
      </c>
      <c r="E493" s="205" t="s">
        <v>353</v>
      </c>
      <c r="F493" s="184">
        <v>1952.7</v>
      </c>
      <c r="G493" s="184">
        <v>0</v>
      </c>
      <c r="H493" s="184">
        <v>0</v>
      </c>
      <c r="I493" s="184">
        <v>0</v>
      </c>
      <c r="J493" s="184">
        <v>1952.7</v>
      </c>
      <c r="K493" s="184">
        <v>0</v>
      </c>
      <c r="L493" s="184">
        <v>0</v>
      </c>
      <c r="M493" s="184">
        <v>0</v>
      </c>
      <c r="N493" s="184">
        <v>0</v>
      </c>
      <c r="O493" s="184">
        <v>0</v>
      </c>
      <c r="P493" s="184">
        <v>0</v>
      </c>
      <c r="Q493" s="184">
        <v>0</v>
      </c>
      <c r="R493" s="208" t="s">
        <v>77</v>
      </c>
      <c r="S493" s="208" t="s">
        <v>77</v>
      </c>
      <c r="T493" s="82" t="s">
        <v>15</v>
      </c>
      <c r="U493" s="182" t="s">
        <v>77</v>
      </c>
      <c r="V493" s="182" t="s">
        <v>77</v>
      </c>
      <c r="W493" s="182" t="s">
        <v>77</v>
      </c>
      <c r="X493" s="182" t="s">
        <v>77</v>
      </c>
      <c r="Y493" s="182" t="s">
        <v>77</v>
      </c>
      <c r="Z493" s="182" t="s">
        <v>77</v>
      </c>
      <c r="AA493" s="143" t="s">
        <v>1046</v>
      </c>
      <c r="AB493" s="182" t="s">
        <v>77</v>
      </c>
      <c r="AC493" s="182" t="s">
        <v>77</v>
      </c>
    </row>
    <row r="494" spans="1:29" s="189" customFormat="1" ht="285" customHeight="1" x14ac:dyDescent="0.25">
      <c r="A494" s="182" t="s">
        <v>287</v>
      </c>
      <c r="B494" s="185" t="s">
        <v>994</v>
      </c>
      <c r="C494" s="208" t="s">
        <v>39</v>
      </c>
      <c r="D494" s="208" t="s">
        <v>935</v>
      </c>
      <c r="E494" s="208" t="s">
        <v>935</v>
      </c>
      <c r="F494" s="140">
        <v>207001.7</v>
      </c>
      <c r="G494" s="140">
        <v>18257</v>
      </c>
      <c r="H494" s="140">
        <v>0</v>
      </c>
      <c r="I494" s="140">
        <v>0</v>
      </c>
      <c r="J494" s="140">
        <v>215030.6</v>
      </c>
      <c r="K494" s="140">
        <v>18257</v>
      </c>
      <c r="L494" s="140">
        <v>0</v>
      </c>
      <c r="M494" s="140">
        <v>0</v>
      </c>
      <c r="N494" s="140">
        <v>0</v>
      </c>
      <c r="O494" s="140">
        <v>0</v>
      </c>
      <c r="P494" s="140">
        <v>0</v>
      </c>
      <c r="Q494" s="140">
        <v>0</v>
      </c>
      <c r="R494" s="208" t="s">
        <v>77</v>
      </c>
      <c r="S494" s="208" t="s">
        <v>77</v>
      </c>
      <c r="T494" s="82" t="s">
        <v>15</v>
      </c>
      <c r="U494" s="208" t="s">
        <v>77</v>
      </c>
      <c r="V494" s="208" t="s">
        <v>77</v>
      </c>
      <c r="W494" s="208" t="s">
        <v>77</v>
      </c>
      <c r="X494" s="208" t="s">
        <v>77</v>
      </c>
      <c r="Y494" s="208" t="s">
        <v>77</v>
      </c>
      <c r="Z494" s="208" t="s">
        <v>77</v>
      </c>
      <c r="AA494" s="208" t="s">
        <v>918</v>
      </c>
      <c r="AB494" s="208" t="s">
        <v>929</v>
      </c>
      <c r="AC494" s="208" t="s">
        <v>930</v>
      </c>
    </row>
  </sheetData>
  <mergeCells count="227">
    <mergeCell ref="D337:D339"/>
    <mergeCell ref="AC337:AC339"/>
    <mergeCell ref="AB337:AB339"/>
    <mergeCell ref="AA337:AA339"/>
    <mergeCell ref="E328:E335"/>
    <mergeCell ref="E271:E278"/>
    <mergeCell ref="D271:D278"/>
    <mergeCell ref="AC271:AC278"/>
    <mergeCell ref="AB271:AB278"/>
    <mergeCell ref="AA271:AA278"/>
    <mergeCell ref="D302:D306"/>
    <mergeCell ref="E302:E306"/>
    <mergeCell ref="AC302:AC306"/>
    <mergeCell ref="D328:D335"/>
    <mergeCell ref="C141:C185"/>
    <mergeCell ref="D141:D185"/>
    <mergeCell ref="E141:E185"/>
    <mergeCell ref="C214:C217"/>
    <mergeCell ref="E214:E217"/>
    <mergeCell ref="D214:D217"/>
    <mergeCell ref="AA219:AA223"/>
    <mergeCell ref="AB219:AB223"/>
    <mergeCell ref="AC219:AC223"/>
    <mergeCell ref="H368:H370"/>
    <mergeCell ref="AB235:AB237"/>
    <mergeCell ref="M368:M370"/>
    <mergeCell ref="Q368:Q370"/>
    <mergeCell ref="P368:P370"/>
    <mergeCell ref="O368:O370"/>
    <mergeCell ref="AA353:AA354"/>
    <mergeCell ref="AB353:AB354"/>
    <mergeCell ref="AA356:AA358"/>
    <mergeCell ref="AB356:AB358"/>
    <mergeCell ref="AA360:AA365"/>
    <mergeCell ref="AB360:AB365"/>
    <mergeCell ref="AB329:AB335"/>
    <mergeCell ref="AA280:AA291"/>
    <mergeCell ref="AB302:AB306"/>
    <mergeCell ref="AA302:AA306"/>
    <mergeCell ref="AB254:AB268"/>
    <mergeCell ref="AA254:AA268"/>
    <mergeCell ref="C138:C140"/>
    <mergeCell ref="D104:D106"/>
    <mergeCell ref="E102:E103"/>
    <mergeCell ref="E100:E101"/>
    <mergeCell ref="E80:E83"/>
    <mergeCell ref="D107:D114"/>
    <mergeCell ref="E107:E114"/>
    <mergeCell ref="E104:E106"/>
    <mergeCell ref="C80:C83"/>
    <mergeCell ref="E94:E96"/>
    <mergeCell ref="D94:D96"/>
    <mergeCell ref="C94:C96"/>
    <mergeCell ref="AC477:AC478"/>
    <mergeCell ref="AA308:AA309"/>
    <mergeCell ref="AA368:AA370"/>
    <mergeCell ref="AB368:AB370"/>
    <mergeCell ref="AC368:AC370"/>
    <mergeCell ref="L368:L370"/>
    <mergeCell ref="I368:I370"/>
    <mergeCell ref="AC432:AC433"/>
    <mergeCell ref="AC427:AC428"/>
    <mergeCell ref="AA427:AA428"/>
    <mergeCell ref="AB427:AB428"/>
    <mergeCell ref="AC356:AC358"/>
    <mergeCell ref="AA322:AA325"/>
    <mergeCell ref="AC353:AC354"/>
    <mergeCell ref="AC360:AC365"/>
    <mergeCell ref="K368:K370"/>
    <mergeCell ref="AA422:AA423"/>
    <mergeCell ref="AB422:AB423"/>
    <mergeCell ref="AC422:AC423"/>
    <mergeCell ref="AC329:AC335"/>
    <mergeCell ref="D431:D433"/>
    <mergeCell ref="AB432:AB433"/>
    <mergeCell ref="AA432:AA433"/>
    <mergeCell ref="AA36:AA38"/>
    <mergeCell ref="AC100:AC101"/>
    <mergeCell ref="AB107:AB114"/>
    <mergeCell ref="AC81:AC83"/>
    <mergeCell ref="AA102:AA103"/>
    <mergeCell ref="AB102:AB103"/>
    <mergeCell ref="AB81:AB83"/>
    <mergeCell ref="AA81:AA83"/>
    <mergeCell ref="AA100:AA101"/>
    <mergeCell ref="AB104:AB106"/>
    <mergeCell ref="AC93:AC96"/>
    <mergeCell ref="AB93:AB96"/>
    <mergeCell ref="AA93:AA96"/>
    <mergeCell ref="E54:E55"/>
    <mergeCell ref="AC322:AC325"/>
    <mergeCell ref="AB322:AB325"/>
    <mergeCell ref="AB308:AB309"/>
    <mergeCell ref="AA235:AA237"/>
    <mergeCell ref="AC135:AC136"/>
    <mergeCell ref="AB279:AB301"/>
    <mergeCell ref="AC215:AC217"/>
    <mergeCell ref="D353:D354"/>
    <mergeCell ref="D356:D358"/>
    <mergeCell ref="E294:E301"/>
    <mergeCell ref="C337:C339"/>
    <mergeCell ref="E337:E339"/>
    <mergeCell ref="D426:D428"/>
    <mergeCell ref="C426:C428"/>
    <mergeCell ref="E426:E428"/>
    <mergeCell ref="C422:C423"/>
    <mergeCell ref="D422:D423"/>
    <mergeCell ref="E422:E423"/>
    <mergeCell ref="C348:C349"/>
    <mergeCell ref="C353:C354"/>
    <mergeCell ref="E353:E354"/>
    <mergeCell ref="E368:E370"/>
    <mergeCell ref="D368:D370"/>
    <mergeCell ref="C368:C370"/>
    <mergeCell ref="C356:C358"/>
    <mergeCell ref="E356:E358"/>
    <mergeCell ref="C322:C325"/>
    <mergeCell ref="D322:D325"/>
    <mergeCell ref="E322:E325"/>
    <mergeCell ref="D294:D301"/>
    <mergeCell ref="D348:D349"/>
    <mergeCell ref="C431:C433"/>
    <mergeCell ref="E431:E433"/>
    <mergeCell ref="AB29:AB30"/>
    <mergeCell ref="D100:D101"/>
    <mergeCell ref="D36:D38"/>
    <mergeCell ref="D102:D103"/>
    <mergeCell ref="D135:D136"/>
    <mergeCell ref="E135:E136"/>
    <mergeCell ref="AA135:AA136"/>
    <mergeCell ref="AB135:AB136"/>
    <mergeCell ref="AB122:AB123"/>
    <mergeCell ref="D80:D83"/>
    <mergeCell ref="AA104:AA106"/>
    <mergeCell ref="F368:F370"/>
    <mergeCell ref="N368:N370"/>
    <mergeCell ref="J368:J370"/>
    <mergeCell ref="G368:G370"/>
    <mergeCell ref="E348:E349"/>
    <mergeCell ref="C360:C365"/>
    <mergeCell ref="D360:D365"/>
    <mergeCell ref="E360:E365"/>
    <mergeCell ref="E50:E51"/>
    <mergeCell ref="C328:C335"/>
    <mergeCell ref="AB36:AB38"/>
    <mergeCell ref="A4:AC4"/>
    <mergeCell ref="R6:Z6"/>
    <mergeCell ref="R7:S7"/>
    <mergeCell ref="T7:T8"/>
    <mergeCell ref="U7:U8"/>
    <mergeCell ref="V7:V8"/>
    <mergeCell ref="W7:W8"/>
    <mergeCell ref="X7:X8"/>
    <mergeCell ref="Y7:Y8"/>
    <mergeCell ref="Z7:Z8"/>
    <mergeCell ref="A6:A8"/>
    <mergeCell ref="B6:B8"/>
    <mergeCell ref="AA6:AA8"/>
    <mergeCell ref="D6:D8"/>
    <mergeCell ref="C6:C8"/>
    <mergeCell ref="AC6:AC8"/>
    <mergeCell ref="AB6:AB8"/>
    <mergeCell ref="E6:E8"/>
    <mergeCell ref="F7:I7"/>
    <mergeCell ref="F6:Q6"/>
    <mergeCell ref="J7:M7"/>
    <mergeCell ref="N7:Q7"/>
    <mergeCell ref="AC36:AC38"/>
    <mergeCell ref="AA107:AA110"/>
    <mergeCell ref="AC107:AC110"/>
    <mergeCell ref="AB115:AB117"/>
    <mergeCell ref="AC115:AC117"/>
    <mergeCell ref="AC102:AC103"/>
    <mergeCell ref="AB100:AB101"/>
    <mergeCell ref="C48:C49"/>
    <mergeCell ref="D48:D49"/>
    <mergeCell ref="E48:E49"/>
    <mergeCell ref="C50:C51"/>
    <mergeCell ref="D50:D51"/>
    <mergeCell ref="C36:C38"/>
    <mergeCell ref="E67:E68"/>
    <mergeCell ref="C60:C61"/>
    <mergeCell ref="D60:D61"/>
    <mergeCell ref="E60:E61"/>
    <mergeCell ref="C63:C64"/>
    <mergeCell ref="D63:D64"/>
    <mergeCell ref="E63:E64"/>
    <mergeCell ref="C65:C66"/>
    <mergeCell ref="D65:D66"/>
    <mergeCell ref="E65:E66"/>
    <mergeCell ref="E36:E38"/>
    <mergeCell ref="D56:D57"/>
    <mergeCell ref="E56:E57"/>
    <mergeCell ref="D58:D59"/>
    <mergeCell ref="E58:E59"/>
    <mergeCell ref="D67:D68"/>
    <mergeCell ref="C54:C55"/>
    <mergeCell ref="D54:D55"/>
    <mergeCell ref="C69:C70"/>
    <mergeCell ref="D69:D70"/>
    <mergeCell ref="E69:E70"/>
    <mergeCell ref="C56:C57"/>
    <mergeCell ref="C58:C59"/>
    <mergeCell ref="C67:C68"/>
    <mergeCell ref="AC122:AC123"/>
    <mergeCell ref="AC104:AC106"/>
    <mergeCell ref="AC141:AC161"/>
    <mergeCell ref="AA141:AA161"/>
    <mergeCell ref="AA162:AA185"/>
    <mergeCell ref="AB141:AB185"/>
    <mergeCell ref="AC162:AC185"/>
    <mergeCell ref="D138:D140"/>
    <mergeCell ref="V282:W282"/>
    <mergeCell ref="AC138:AC140"/>
    <mergeCell ref="AC279:AC301"/>
    <mergeCell ref="AA294:AA301"/>
    <mergeCell ref="E292:E293"/>
    <mergeCell ref="E138:E140"/>
    <mergeCell ref="AA138:AA140"/>
    <mergeCell ref="AB138:AB140"/>
    <mergeCell ref="AA292:AA293"/>
    <mergeCell ref="D292:D293"/>
    <mergeCell ref="D280:D291"/>
    <mergeCell ref="E280:E291"/>
    <mergeCell ref="E254:E268"/>
    <mergeCell ref="D254:D268"/>
    <mergeCell ref="AC254:AC268"/>
  </mergeCells>
  <pageMargins left="0.11811023622047245" right="0.11811023622047245" top="0.15748031496062992" bottom="0.15748031496062992" header="0.11811023622047245" footer="0.11811023622047245"/>
  <pageSetup paperSize="8" scale="32" fitToHeight="0" orientation="landscape" r:id="rId1"/>
  <rowBreaks count="15" manualBreakCount="15">
    <brk id="59" max="28" man="1"/>
    <brk id="94" max="28" man="1"/>
    <brk id="124" max="28" man="1"/>
    <brk id="167" max="28" man="1"/>
    <brk id="205" max="28" man="1"/>
    <brk id="232" max="28" man="1"/>
    <brk id="262" max="28" man="1"/>
    <brk id="302" max="28" man="1"/>
    <brk id="326" max="28" man="1"/>
    <brk id="354" max="28" man="1"/>
    <brk id="382" max="28" man="1"/>
    <brk id="407" max="28" man="1"/>
    <brk id="436" max="28" man="1"/>
    <brk id="455" max="28" man="1"/>
    <brk id="478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2022-09-21T09:52:38Z</dcterms:modified>
</cp:coreProperties>
</file>